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" activeTab="0"/>
  </bookViews>
  <sheets>
    <sheet name="Vorlage MM" sheetId="1" r:id="rId1"/>
  </sheets>
  <definedNames>
    <definedName name="_xlnm.Print_Area" localSheetId="0">'Vorlage MM'!$A$1:$X$28</definedName>
    <definedName name="fkgmax">'Vorlage MM'!$AR$2</definedName>
    <definedName name="fkgmin">'Vorlage MM'!$AR$3</definedName>
    <definedName name="fscfmax">'Vorlage MM'!$AL$2</definedName>
    <definedName name="fwert">'Vorlage MM'!$AR$1</definedName>
    <definedName name="mkgmax">#REF!</definedName>
    <definedName name="mkgmax_1">'Vorlage MM'!$AP$2</definedName>
    <definedName name="mkgmin">#REF!</definedName>
    <definedName name="mkgmin_1">'Vorlage MM'!$AP$3</definedName>
    <definedName name="mscfmax">#REF!</definedName>
    <definedName name="mscfmax_1">'Vorlage MM'!$AL$1</definedName>
    <definedName name="mwert">#REF!</definedName>
    <definedName name="mwert_1">'Vorlage MM'!$AP$1</definedName>
  </definedNames>
  <calcPr fullCalcOnLoad="1"/>
</workbook>
</file>

<file path=xl/sharedStrings.xml><?xml version="1.0" encoding="utf-8"?>
<sst xmlns="http://schemas.openxmlformats.org/spreadsheetml/2006/main" count="167" uniqueCount="98">
  <si>
    <t xml:space="preserve">        ÖGV</t>
  </si>
  <si>
    <t>Konkurrenz:</t>
  </si>
  <si>
    <t>MM von Österreich</t>
  </si>
  <si>
    <t>am:</t>
  </si>
  <si>
    <t>KLASSE:</t>
  </si>
  <si>
    <t>mscfmax</t>
  </si>
  <si>
    <t>mwert</t>
  </si>
  <si>
    <t>fwert</t>
  </si>
  <si>
    <t>Beginn:</t>
  </si>
  <si>
    <t>NATIONALLIGA OST</t>
  </si>
  <si>
    <t>fscfmax</t>
  </si>
  <si>
    <t>mkgmax</t>
  </si>
  <si>
    <t>fkgmax</t>
  </si>
  <si>
    <t>Austragungsort:</t>
  </si>
  <si>
    <t>16., Kendlerstraße 38 (Red-Star-Platz)</t>
  </si>
  <si>
    <t>Ende:</t>
  </si>
  <si>
    <t>mkgmin</t>
  </si>
  <si>
    <t>fkgmin</t>
  </si>
  <si>
    <t>Nr.</t>
  </si>
  <si>
    <t>NAME</t>
  </si>
  <si>
    <t>(F) Frau</t>
  </si>
  <si>
    <t>Geb.-</t>
  </si>
  <si>
    <t>Pass-</t>
  </si>
  <si>
    <t>Körper</t>
  </si>
  <si>
    <t>Sinclair</t>
  </si>
  <si>
    <t>R e i ß e n</t>
  </si>
  <si>
    <t>S t o ß e n</t>
  </si>
  <si>
    <t>Zweik.</t>
  </si>
  <si>
    <t>Ges. SC</t>
  </si>
  <si>
    <t>Jugendbonus</t>
  </si>
  <si>
    <t>Frauen</t>
  </si>
  <si>
    <t>Reißen</t>
  </si>
  <si>
    <t>Stoßen</t>
  </si>
  <si>
    <t>Gesamt</t>
  </si>
  <si>
    <t>Jahr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</si>
  <si>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</si>
  <si>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</si>
  <si>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</si>
  <si>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</si>
  <si>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</si>
  <si>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</si>
  <si>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</si>
  <si>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</si>
  <si>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>GJ</t>
  </si>
  <si>
    <t>Alter</t>
  </si>
  <si>
    <t>BODA Tarik</t>
  </si>
  <si>
    <t>x</t>
  </si>
  <si>
    <t>GOTTLIEB Christian</t>
  </si>
  <si>
    <t>FUCHS Walter</t>
  </si>
  <si>
    <t>KAMERER Patrick</t>
  </si>
  <si>
    <t>FENZL Adolf</t>
  </si>
  <si>
    <t>Heimmannschaft:</t>
  </si>
  <si>
    <t xml:space="preserve">SUMME - Reißen  </t>
  </si>
  <si>
    <t xml:space="preserve">SUMME - Stoßen  </t>
  </si>
  <si>
    <t xml:space="preserve">R. + St.  </t>
  </si>
  <si>
    <t>KGR 1</t>
  </si>
  <si>
    <t xml:space="preserve">Kontrolle, ob beide Disziplinen gewonnen wurden (wenn ja, dann x=0, sonst x=1): </t>
  </si>
  <si>
    <t>x=</t>
  </si>
  <si>
    <t>ARGOS / HERMANN - POLIZEI I</t>
  </si>
  <si>
    <t xml:space="preserve">Ges.-J. B.  </t>
  </si>
  <si>
    <t>Summe</t>
  </si>
  <si>
    <t>KGR 2</t>
  </si>
  <si>
    <t>x=0</t>
  </si>
  <si>
    <t>x=1</t>
  </si>
  <si>
    <t xml:space="preserve">SUMME  </t>
  </si>
  <si>
    <t>KGR 3</t>
  </si>
  <si>
    <t xml:space="preserve">  1 : 1</t>
  </si>
  <si>
    <t xml:space="preserve"> 1 : 1</t>
  </si>
  <si>
    <t xml:space="preserve">Differenz    + / --  </t>
  </si>
  <si>
    <t xml:space="preserve">Diff. + / --  </t>
  </si>
  <si>
    <t xml:space="preserve"> 1 : 0</t>
  </si>
  <si>
    <t xml:space="preserve"> 2 : 1</t>
  </si>
  <si>
    <t>GRUBMÜLLER Anton</t>
  </si>
  <si>
    <t xml:space="preserve"> 2 : 0</t>
  </si>
  <si>
    <t xml:space="preserve"> 3 : 1</t>
  </si>
  <si>
    <t>HOFBAUER Markus Ing.</t>
  </si>
  <si>
    <t xml:space="preserve"> 3 : 0</t>
  </si>
  <si>
    <t xml:space="preserve"> 4 : 1</t>
  </si>
  <si>
    <t>LEGEL Bernhard</t>
  </si>
  <si>
    <t xml:space="preserve"> 4 : 0</t>
  </si>
  <si>
    <t xml:space="preserve"> 5 : 1</t>
  </si>
  <si>
    <t>LEGEL Christoph</t>
  </si>
  <si>
    <t xml:space="preserve"> 5 : 0</t>
  </si>
  <si>
    <t xml:space="preserve"> 6 : 1</t>
  </si>
  <si>
    <t>ABRAHAM Martin</t>
  </si>
  <si>
    <t xml:space="preserve"> 6 : 0</t>
  </si>
  <si>
    <t xml:space="preserve"> 7 : 1</t>
  </si>
  <si>
    <t>Gastmannschaft:</t>
  </si>
  <si>
    <t>MÖDLING</t>
  </si>
  <si>
    <t>Hauptkampfrichter:</t>
  </si>
  <si>
    <t>Seitenrichter:</t>
  </si>
  <si>
    <t>Listenführer:</t>
  </si>
  <si>
    <t>Ergebnis:</t>
  </si>
  <si>
    <t>Es siegte ... mit:</t>
  </si>
  <si>
    <t>Es siegte:</t>
  </si>
  <si>
    <t>DOLEZAL Otto</t>
  </si>
  <si>
    <t>mit</t>
  </si>
  <si>
    <t>Punkten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</si>
</sst>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\ MMMM\ YYYY"/>
    <numFmt numFmtId="166" formatCode="0.0000"/>
    <numFmt numFmtId="167" formatCode="0.000000000"/>
    <numFmt numFmtId="168" formatCode="HH:MM"/>
    <numFmt numFmtId="169" formatCode="0.000"/>
    <numFmt numFmtId="170" formatCode="0.0"/>
    <numFmt numFmtId="171" formatCode="0"/>
    <numFmt numFmtId="172" formatCode="0.00"/>
    <numFmt numFmtId="173" formatCode="0&quot;     &quot;"/>
    <numFmt numFmtId="174" formatCode="#,##0.00"/>
  </numFmts>
  <fonts count="17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6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1" fillId="0" borderId="0" xfId="0" applyFont="1" applyFill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3" fillId="0" borderId="0" xfId="0" applyFont="1" applyBorder="1" applyAlignment="1" applyProtection="1">
      <alignment horizontal="left"/>
      <protection locked="0"/>
    </xf>
    <xf numFmtId="164" fontId="1" fillId="0" borderId="0" xfId="0" applyFont="1" applyAlignment="1" applyProtection="1">
      <alignment horizontal="right"/>
      <protection hidden="1"/>
    </xf>
    <xf numFmtId="165" fontId="4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 horizontal="left" indent="1"/>
      <protection hidden="1"/>
    </xf>
    <xf numFmtId="164" fontId="1" fillId="0" borderId="0" xfId="0" applyFont="1" applyAlignment="1" applyProtection="1">
      <alignment horizontal="left" indent="1"/>
      <protection hidden="1"/>
    </xf>
    <xf numFmtId="164" fontId="1" fillId="2" borderId="0" xfId="0" applyFont="1" applyFill="1" applyAlignment="1" applyProtection="1">
      <alignment/>
      <protection/>
    </xf>
    <xf numFmtId="166" fontId="1" fillId="2" borderId="0" xfId="0" applyNumberFormat="1" applyFont="1" applyFill="1" applyAlignment="1" applyProtection="1">
      <alignment/>
      <protection/>
    </xf>
    <xf numFmtId="164" fontId="5" fillId="0" borderId="0" xfId="0" applyFont="1" applyFill="1" applyAlignment="1" applyProtection="1">
      <alignment/>
      <protection hidden="1"/>
    </xf>
    <xf numFmtId="167" fontId="1" fillId="2" borderId="0" xfId="0" applyNumberFormat="1" applyFont="1" applyFill="1" applyAlignment="1" applyProtection="1">
      <alignment/>
      <protection/>
    </xf>
    <xf numFmtId="164" fontId="1" fillId="0" borderId="0" xfId="0" applyFont="1" applyAlignment="1" applyProtection="1">
      <alignment horizontal="left"/>
      <protection hidden="1"/>
    </xf>
    <xf numFmtId="164" fontId="5" fillId="0" borderId="0" xfId="0" applyFont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 vertical="center" wrapText="1"/>
      <protection locked="0"/>
    </xf>
    <xf numFmtId="164" fontId="5" fillId="0" borderId="0" xfId="0" applyFont="1" applyAlignment="1" applyProtection="1">
      <alignment vertical="top" wrapText="1"/>
      <protection hidden="1"/>
    </xf>
    <xf numFmtId="164" fontId="1" fillId="0" borderId="0" xfId="0" applyFont="1" applyAlignment="1" applyProtection="1">
      <alignment vertical="top" wrapText="1"/>
      <protection hidden="1"/>
    </xf>
    <xf numFmtId="164" fontId="1" fillId="0" borderId="0" xfId="0" applyFont="1" applyAlignment="1" applyProtection="1">
      <alignment vertical="center" wrapText="1"/>
      <protection hidden="1"/>
    </xf>
    <xf numFmtId="164" fontId="5" fillId="0" borderId="0" xfId="0" applyFont="1" applyFill="1" applyAlignment="1" applyProtection="1">
      <alignment vertical="top" wrapText="1"/>
      <protection hidden="1"/>
    </xf>
    <xf numFmtId="169" fontId="1" fillId="2" borderId="0" xfId="0" applyNumberFormat="1" applyFont="1" applyFill="1" applyAlignment="1" applyProtection="1">
      <alignment/>
      <protection/>
    </xf>
    <xf numFmtId="164" fontId="4" fillId="0" borderId="0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 vertical="center"/>
      <protection hidden="1"/>
    </xf>
    <xf numFmtId="164" fontId="6" fillId="0" borderId="2" xfId="0" applyFont="1" applyBorder="1" applyAlignment="1" applyProtection="1">
      <alignment horizontal="left" vertical="center" indent="1"/>
      <protection hidden="1"/>
    </xf>
    <xf numFmtId="164" fontId="7" fillId="0" borderId="3" xfId="0" applyFont="1" applyBorder="1" applyAlignment="1" applyProtection="1">
      <alignment horizontal="center" vertical="center" textRotation="90"/>
      <protection hidden="1"/>
    </xf>
    <xf numFmtId="164" fontId="8" fillId="0" borderId="4" xfId="0" applyFont="1" applyBorder="1" applyAlignment="1" applyProtection="1">
      <alignment horizontal="center"/>
      <protection hidden="1"/>
    </xf>
    <xf numFmtId="164" fontId="8" fillId="0" borderId="5" xfId="0" applyFont="1" applyBorder="1" applyAlignment="1" applyProtection="1">
      <alignment horizontal="center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8" fillId="0" borderId="7" xfId="0" applyFont="1" applyBorder="1" applyAlignment="1" applyProtection="1">
      <alignment horizontal="center"/>
      <protection hidden="1"/>
    </xf>
    <xf numFmtId="164" fontId="8" fillId="0" borderId="8" xfId="0" applyFont="1" applyBorder="1" applyAlignment="1" applyProtection="1">
      <alignment horizontal="center"/>
      <protection hidden="1"/>
    </xf>
    <xf numFmtId="164" fontId="9" fillId="3" borderId="0" xfId="0" applyFont="1" applyFill="1" applyBorder="1" applyAlignment="1" applyProtection="1">
      <alignment horizontal="center"/>
      <protection hidden="1"/>
    </xf>
    <xf numFmtId="164" fontId="1" fillId="2" borderId="4" xfId="0" applyFont="1" applyFill="1" applyBorder="1" applyAlignment="1" applyProtection="1">
      <alignment horizontal="center"/>
      <protection hidden="1"/>
    </xf>
    <xf numFmtId="164" fontId="1" fillId="2" borderId="9" xfId="0" applyFont="1" applyFill="1" applyBorder="1" applyAlignment="1" applyProtection="1">
      <alignment horizontal="center"/>
      <protection hidden="1"/>
    </xf>
    <xf numFmtId="164" fontId="1" fillId="2" borderId="10" xfId="0" applyFont="1" applyFill="1" applyBorder="1" applyAlignment="1" applyProtection="1">
      <alignment horizontal="center"/>
      <protection hidden="1"/>
    </xf>
    <xf numFmtId="164" fontId="1" fillId="2" borderId="11" xfId="0" applyFont="1" applyFill="1" applyBorder="1" applyAlignment="1" applyProtection="1">
      <alignment horizontal="center"/>
      <protection hidden="1"/>
    </xf>
    <xf numFmtId="164" fontId="1" fillId="2" borderId="12" xfId="0" applyFont="1" applyFill="1" applyBorder="1" applyAlignment="1" applyProtection="1">
      <alignment horizontal="center"/>
      <protection hidden="1"/>
    </xf>
    <xf numFmtId="164" fontId="1" fillId="2" borderId="13" xfId="0" applyFont="1" applyFill="1" applyBorder="1" applyAlignment="1" applyProtection="1">
      <alignment horizontal="center"/>
      <protection hidden="1"/>
    </xf>
    <xf numFmtId="164" fontId="1" fillId="2" borderId="8" xfId="0" applyFont="1" applyFill="1" applyBorder="1" applyAlignment="1" applyProtection="1">
      <alignment horizontal="center"/>
      <protection hidden="1"/>
    </xf>
    <xf numFmtId="164" fontId="1" fillId="2" borderId="14" xfId="0" applyFont="1" applyFill="1" applyBorder="1" applyAlignment="1" applyProtection="1">
      <alignment horizontal="center" vertical="center"/>
      <protection hidden="1"/>
    </xf>
    <xf numFmtId="164" fontId="8" fillId="0" borderId="15" xfId="0" applyFont="1" applyBorder="1" applyAlignment="1" applyProtection="1">
      <alignment horizontal="center" vertical="top"/>
      <protection hidden="1"/>
    </xf>
    <xf numFmtId="164" fontId="8" fillId="0" borderId="16" xfId="0" applyFont="1" applyBorder="1" applyAlignment="1" applyProtection="1">
      <alignment horizontal="center" vertical="top"/>
      <protection hidden="1"/>
    </xf>
    <xf numFmtId="164" fontId="1" fillId="0" borderId="17" xfId="0" applyFont="1" applyBorder="1" applyAlignment="1" applyProtection="1">
      <alignment horizontal="center"/>
      <protection hidden="1"/>
    </xf>
    <xf numFmtId="164" fontId="1" fillId="0" borderId="18" xfId="0" applyFont="1" applyBorder="1" applyAlignment="1" applyProtection="1">
      <alignment horizontal="center"/>
      <protection hidden="1"/>
    </xf>
    <xf numFmtId="164" fontId="1" fillId="0" borderId="19" xfId="0" applyFont="1" applyBorder="1" applyAlignment="1" applyProtection="1">
      <alignment horizontal="center"/>
      <protection hidden="1"/>
    </xf>
    <xf numFmtId="164" fontId="1" fillId="0" borderId="20" xfId="0" applyFont="1" applyBorder="1" applyAlignment="1" applyProtection="1">
      <alignment horizontal="center"/>
      <protection hidden="1"/>
    </xf>
    <xf numFmtId="164" fontId="8" fillId="0" borderId="21" xfId="0" applyFont="1" applyBorder="1" applyAlignment="1" applyProtection="1">
      <alignment horizontal="center" vertical="top"/>
      <protection hidden="1"/>
    </xf>
    <xf numFmtId="164" fontId="8" fillId="0" borderId="22" xfId="0" applyFont="1" applyBorder="1" applyAlignment="1" applyProtection="1">
      <alignment horizontal="center" vertical="top"/>
      <protection hidden="1"/>
    </xf>
    <xf numFmtId="164" fontId="10" fillId="3" borderId="0" xfId="0" applyFont="1" applyFill="1" applyAlignment="1" applyProtection="1">
      <alignment horizontal="center"/>
      <protection hidden="1"/>
    </xf>
    <xf numFmtId="164" fontId="1" fillId="2" borderId="15" xfId="0" applyFont="1" applyFill="1" applyBorder="1" applyAlignment="1" applyProtection="1">
      <alignment horizontal="center"/>
      <protection hidden="1"/>
    </xf>
    <xf numFmtId="164" fontId="1" fillId="2" borderId="23" xfId="0" applyFont="1" applyFill="1" applyBorder="1" applyAlignment="1" applyProtection="1">
      <alignment horizontal="center"/>
      <protection hidden="1"/>
    </xf>
    <xf numFmtId="164" fontId="1" fillId="2" borderId="24" xfId="0" applyFont="1" applyFill="1" applyBorder="1" applyAlignment="1" applyProtection="1">
      <alignment horizontal="center"/>
      <protection hidden="1"/>
    </xf>
    <xf numFmtId="164" fontId="1" fillId="2" borderId="17" xfId="0" applyFont="1" applyFill="1" applyBorder="1" applyAlignment="1" applyProtection="1">
      <alignment horizontal="center"/>
      <protection hidden="1"/>
    </xf>
    <xf numFmtId="164" fontId="1" fillId="2" borderId="20" xfId="0" applyFont="1" applyFill="1" applyBorder="1" applyAlignment="1" applyProtection="1">
      <alignment horizontal="center"/>
      <protection hidden="1"/>
    </xf>
    <xf numFmtId="164" fontId="1" fillId="2" borderId="25" xfId="0" applyFont="1" applyFill="1" applyBorder="1" applyAlignment="1" applyProtection="1">
      <alignment horizontal="center"/>
      <protection hidden="1"/>
    </xf>
    <xf numFmtId="164" fontId="1" fillId="2" borderId="22" xfId="0" applyFont="1" applyFill="1" applyBorder="1" applyAlignment="1" applyProtection="1">
      <alignment horizontal="center"/>
      <protection hidden="1"/>
    </xf>
    <xf numFmtId="164" fontId="1" fillId="2" borderId="26" xfId="0" applyFont="1" applyFill="1" applyBorder="1" applyAlignment="1" applyProtection="1">
      <alignment horizontal="center"/>
      <protection hidden="1"/>
    </xf>
    <xf numFmtId="164" fontId="4" fillId="0" borderId="27" xfId="0" applyFont="1" applyBorder="1" applyAlignment="1" applyProtection="1">
      <alignment horizontal="center" vertical="center"/>
      <protection locked="0"/>
    </xf>
    <xf numFmtId="164" fontId="4" fillId="0" borderId="28" xfId="0" applyFont="1" applyBorder="1" applyAlignment="1" applyProtection="1">
      <alignment horizontal="left" vertical="center"/>
      <protection locked="0"/>
    </xf>
    <xf numFmtId="164" fontId="4" fillId="0" borderId="28" xfId="0" applyFont="1" applyBorder="1" applyAlignment="1" applyProtection="1">
      <alignment horizontal="center" vertical="center"/>
      <protection locked="0"/>
    </xf>
    <xf numFmtId="164" fontId="1" fillId="0" borderId="28" xfId="0" applyFont="1" applyBorder="1" applyAlignment="1" applyProtection="1">
      <alignment horizontal="center" vertical="center"/>
      <protection locked="0"/>
    </xf>
    <xf numFmtId="170" fontId="1" fillId="0" borderId="28" xfId="0" applyNumberFormat="1" applyFont="1" applyBorder="1" applyAlignment="1" applyProtection="1">
      <alignment horizontal="center" vertical="center"/>
      <protection locked="0"/>
    </xf>
    <xf numFmtId="166" fontId="1" fillId="0" borderId="29" xfId="0" applyNumberFormat="1" applyFont="1" applyBorder="1" applyAlignment="1" applyProtection="1">
      <alignment horizontal="center" vertical="center"/>
      <protection hidden="1"/>
    </xf>
    <xf numFmtId="171" fontId="1" fillId="0" borderId="30" xfId="0" applyNumberFormat="1" applyFont="1" applyBorder="1" applyAlignment="1" applyProtection="1">
      <alignment horizontal="right" vertical="center"/>
      <protection locked="0"/>
    </xf>
    <xf numFmtId="164" fontId="1" fillId="0" borderId="31" xfId="0" applyFont="1" applyBorder="1" applyAlignment="1" applyProtection="1">
      <alignment horizontal="center" vertical="center"/>
      <protection locked="0"/>
    </xf>
    <xf numFmtId="171" fontId="1" fillId="0" borderId="32" xfId="0" applyNumberFormat="1" applyFont="1" applyBorder="1" applyAlignment="1" applyProtection="1">
      <alignment horizontal="right" vertical="center"/>
      <protection locked="0"/>
    </xf>
    <xf numFmtId="164" fontId="1" fillId="0" borderId="33" xfId="0" applyFont="1" applyBorder="1" applyAlignment="1" applyProtection="1">
      <alignment horizontal="center" vertical="center"/>
      <protection locked="0"/>
    </xf>
    <xf numFmtId="172" fontId="4" fillId="0" borderId="33" xfId="0" applyNumberFormat="1" applyFont="1" applyBorder="1" applyAlignment="1" applyProtection="1">
      <alignment horizontal="right" vertical="center"/>
      <protection hidden="1"/>
    </xf>
    <xf numFmtId="173" fontId="4" fillId="0" borderId="31" xfId="0" applyNumberFormat="1" applyFont="1" applyBorder="1" applyAlignment="1" applyProtection="1">
      <alignment horizontal="right" vertical="center"/>
      <protection hidden="1"/>
    </xf>
    <xf numFmtId="164" fontId="11" fillId="3" borderId="34" xfId="0" applyFont="1" applyFill="1" applyBorder="1" applyAlignment="1" applyProtection="1">
      <alignment horizontal="center" vertical="center"/>
      <protection hidden="1"/>
    </xf>
    <xf numFmtId="170" fontId="1" fillId="2" borderId="34" xfId="0" applyNumberFormat="1" applyFont="1" applyFill="1" applyBorder="1" applyAlignment="1" applyProtection="1">
      <alignment horizontal="center" vertical="center"/>
      <protection hidden="1"/>
    </xf>
    <xf numFmtId="166" fontId="1" fillId="2" borderId="32" xfId="0" applyNumberFormat="1" applyFont="1" applyFill="1" applyBorder="1" applyAlignment="1" applyProtection="1">
      <alignment horizontal="center" vertical="center"/>
      <protection hidden="1"/>
    </xf>
    <xf numFmtId="166" fontId="1" fillId="2" borderId="35" xfId="0" applyNumberFormat="1" applyFont="1" applyFill="1" applyBorder="1" applyAlignment="1" applyProtection="1">
      <alignment horizontal="center" vertical="center"/>
      <protection hidden="1"/>
    </xf>
    <xf numFmtId="172" fontId="4" fillId="2" borderId="27" xfId="0" applyNumberFormat="1" applyFont="1" applyFill="1" applyBorder="1" applyAlignment="1" applyProtection="1">
      <alignment horizontal="right" vertical="center"/>
      <protection hidden="1"/>
    </xf>
    <xf numFmtId="172" fontId="4" fillId="2" borderId="33" xfId="0" applyNumberFormat="1" applyFont="1" applyFill="1" applyBorder="1" applyAlignment="1" applyProtection="1">
      <alignment horizontal="right" vertical="center"/>
      <protection hidden="1"/>
    </xf>
    <xf numFmtId="170" fontId="4" fillId="2" borderId="36" xfId="0" applyNumberFormat="1" applyFont="1" applyFill="1" applyBorder="1" applyAlignment="1" applyProtection="1">
      <alignment horizontal="right" vertical="center"/>
      <protection hidden="1"/>
    </xf>
    <xf numFmtId="164" fontId="4" fillId="0" borderId="37" xfId="0" applyFont="1" applyBorder="1" applyAlignment="1" applyProtection="1">
      <alignment horizontal="center" vertical="center"/>
      <protection locked="0"/>
    </xf>
    <xf numFmtId="164" fontId="4" fillId="0" borderId="34" xfId="0" applyFont="1" applyBorder="1" applyAlignment="1" applyProtection="1">
      <alignment horizontal="left" vertical="center"/>
      <protection locked="0"/>
    </xf>
    <xf numFmtId="164" fontId="4" fillId="0" borderId="34" xfId="0" applyFont="1" applyBorder="1" applyAlignment="1" applyProtection="1">
      <alignment horizontal="center" vertical="center"/>
      <protection locked="0"/>
    </xf>
    <xf numFmtId="164" fontId="1" fillId="0" borderId="34" xfId="0" applyFont="1" applyBorder="1" applyAlignment="1" applyProtection="1">
      <alignment horizontal="center" vertical="center"/>
      <protection locked="0"/>
    </xf>
    <xf numFmtId="170" fontId="1" fillId="0" borderId="34" xfId="0" applyNumberFormat="1" applyFont="1" applyBorder="1" applyAlignment="1" applyProtection="1">
      <alignment horizontal="center" vertical="center"/>
      <protection locked="0"/>
    </xf>
    <xf numFmtId="166" fontId="1" fillId="0" borderId="38" xfId="0" applyNumberFormat="1" applyFont="1" applyBorder="1" applyAlignment="1" applyProtection="1">
      <alignment horizontal="center" vertical="center"/>
      <protection hidden="1"/>
    </xf>
    <xf numFmtId="171" fontId="1" fillId="0" borderId="39" xfId="0" applyNumberFormat="1" applyFont="1" applyBorder="1" applyAlignment="1" applyProtection="1">
      <alignment horizontal="right" vertical="center"/>
      <protection locked="0"/>
    </xf>
    <xf numFmtId="164" fontId="1" fillId="0" borderId="40" xfId="0" applyFont="1" applyBorder="1" applyAlignment="1" applyProtection="1">
      <alignment horizontal="center" vertical="center"/>
      <protection locked="0"/>
    </xf>
    <xf numFmtId="171" fontId="1" fillId="0" borderId="41" xfId="0" applyNumberFormat="1" applyFont="1" applyBorder="1" applyAlignment="1" applyProtection="1">
      <alignment horizontal="right" vertical="center"/>
      <protection locked="0"/>
    </xf>
    <xf numFmtId="164" fontId="1" fillId="0" borderId="42" xfId="0" applyFont="1" applyBorder="1" applyAlignment="1" applyProtection="1">
      <alignment horizontal="center" vertical="center"/>
      <protection locked="0"/>
    </xf>
    <xf numFmtId="172" fontId="4" fillId="0" borderId="42" xfId="0" applyNumberFormat="1" applyFont="1" applyBorder="1" applyAlignment="1" applyProtection="1">
      <alignment horizontal="right" vertical="center"/>
      <protection hidden="1"/>
    </xf>
    <xf numFmtId="173" fontId="4" fillId="0" borderId="40" xfId="0" applyNumberFormat="1" applyFont="1" applyBorder="1" applyAlignment="1" applyProtection="1">
      <alignment horizontal="right" vertical="center"/>
      <protection hidden="1"/>
    </xf>
    <xf numFmtId="164" fontId="4" fillId="0" borderId="17" xfId="0" applyFont="1" applyBorder="1" applyAlignment="1" applyProtection="1">
      <alignment horizontal="center" vertical="center"/>
      <protection locked="0"/>
    </xf>
    <xf numFmtId="164" fontId="4" fillId="0" borderId="18" xfId="0" applyFont="1" applyBorder="1" applyAlignment="1" applyProtection="1">
      <alignment horizontal="left" vertical="center"/>
      <protection locked="0"/>
    </xf>
    <xf numFmtId="164" fontId="4" fillId="0" borderId="18" xfId="0" applyFont="1" applyBorder="1" applyAlignment="1" applyProtection="1">
      <alignment horizontal="center" vertical="center"/>
      <protection locked="0"/>
    </xf>
    <xf numFmtId="164" fontId="1" fillId="0" borderId="18" xfId="0" applyFont="1" applyBorder="1" applyAlignment="1" applyProtection="1">
      <alignment horizontal="center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6" fontId="1" fillId="0" borderId="19" xfId="0" applyNumberFormat="1" applyFont="1" applyBorder="1" applyAlignment="1" applyProtection="1">
      <alignment horizontal="center" vertical="center"/>
      <protection hidden="1"/>
    </xf>
    <xf numFmtId="171" fontId="1" fillId="0" borderId="43" xfId="0" applyNumberFormat="1" applyFont="1" applyBorder="1" applyAlignment="1" applyProtection="1">
      <alignment horizontal="right" vertical="center"/>
      <protection locked="0"/>
    </xf>
    <xf numFmtId="164" fontId="1" fillId="0" borderId="44" xfId="0" applyFont="1" applyBorder="1" applyAlignment="1" applyProtection="1">
      <alignment horizontal="center" vertical="center"/>
      <protection locked="0"/>
    </xf>
    <xf numFmtId="171" fontId="1" fillId="0" borderId="45" xfId="0" applyNumberFormat="1" applyFont="1" applyBorder="1" applyAlignment="1" applyProtection="1">
      <alignment horizontal="right" vertical="center"/>
      <protection locked="0"/>
    </xf>
    <xf numFmtId="164" fontId="1" fillId="0" borderId="20" xfId="0" applyFont="1" applyBorder="1" applyAlignment="1" applyProtection="1">
      <alignment horizontal="center" vertical="center"/>
      <protection locked="0"/>
    </xf>
    <xf numFmtId="172" fontId="4" fillId="0" borderId="20" xfId="0" applyNumberFormat="1" applyFont="1" applyBorder="1" applyAlignment="1" applyProtection="1">
      <alignment horizontal="right" vertical="center"/>
      <protection hidden="1"/>
    </xf>
    <xf numFmtId="173" fontId="4" fillId="0" borderId="44" xfId="0" applyNumberFormat="1" applyFont="1" applyBorder="1" applyAlignment="1" applyProtection="1">
      <alignment horizontal="right" vertical="center"/>
      <protection hidden="1"/>
    </xf>
    <xf numFmtId="164" fontId="1" fillId="0" borderId="46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2" fillId="0" borderId="47" xfId="0" applyFont="1" applyFill="1" applyBorder="1" applyAlignment="1" applyProtection="1">
      <alignment vertical="center"/>
      <protection/>
    </xf>
    <xf numFmtId="164" fontId="8" fillId="0" borderId="36" xfId="0" applyFont="1" applyBorder="1" applyAlignment="1" applyProtection="1">
      <alignment horizontal="right" vertical="center"/>
      <protection hidden="1"/>
    </xf>
    <xf numFmtId="174" fontId="4" fillId="0" borderId="33" xfId="0" applyNumberFormat="1" applyFont="1" applyBorder="1" applyAlignment="1" applyProtection="1">
      <alignment horizontal="right" vertical="center"/>
      <protection hidden="1"/>
    </xf>
    <xf numFmtId="164" fontId="8" fillId="0" borderId="27" xfId="0" applyFont="1" applyBorder="1" applyAlignment="1" applyProtection="1">
      <alignment horizontal="right" vertical="center"/>
      <protection hidden="1"/>
    </xf>
    <xf numFmtId="164" fontId="8" fillId="0" borderId="31" xfId="0" applyFont="1" applyBorder="1" applyAlignment="1" applyProtection="1">
      <alignment horizontal="right" vertical="center"/>
      <protection hidden="1"/>
    </xf>
    <xf numFmtId="164" fontId="10" fillId="3" borderId="0" xfId="0" applyFont="1" applyFill="1" applyAlignment="1" applyProtection="1">
      <alignment/>
      <protection hidden="1"/>
    </xf>
    <xf numFmtId="164" fontId="1" fillId="2" borderId="36" xfId="0" applyFont="1" applyFill="1" applyBorder="1" applyAlignment="1" applyProtection="1">
      <alignment horizontal="right" vertical="center"/>
      <protection hidden="1"/>
    </xf>
    <xf numFmtId="164" fontId="1" fillId="0" borderId="0" xfId="0" applyFont="1" applyFill="1" applyBorder="1" applyAlignment="1" applyProtection="1">
      <alignment horizontal="left" vertical="center" indent="1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right"/>
      <protection hidden="1"/>
    </xf>
    <xf numFmtId="164" fontId="4" fillId="0" borderId="0" xfId="0" applyFont="1" applyAlignment="1" applyProtection="1">
      <alignment horizontal="left"/>
      <protection hidden="1"/>
    </xf>
    <xf numFmtId="164" fontId="13" fillId="0" borderId="47" xfId="0" applyFont="1" applyBorder="1" applyAlignment="1" applyProtection="1">
      <alignment vertical="center"/>
      <protection locked="0"/>
    </xf>
    <xf numFmtId="164" fontId="8" fillId="0" borderId="48" xfId="0" applyFont="1" applyBorder="1" applyAlignment="1" applyProtection="1">
      <alignment horizontal="right" vertical="center"/>
      <protection hidden="1"/>
    </xf>
    <xf numFmtId="164" fontId="8" fillId="0" borderId="37" xfId="0" applyFont="1" applyBorder="1" applyAlignment="1" applyProtection="1">
      <alignment horizontal="right" vertical="center"/>
      <protection hidden="1"/>
    </xf>
    <xf numFmtId="164" fontId="8" fillId="0" borderId="40" xfId="0" applyFont="1" applyBorder="1" applyAlignment="1" applyProtection="1">
      <alignment horizontal="right" vertical="center"/>
      <protection hidden="1"/>
    </xf>
    <xf numFmtId="172" fontId="4" fillId="2" borderId="37" xfId="0" applyNumberFormat="1" applyFont="1" applyFill="1" applyBorder="1" applyAlignment="1" applyProtection="1">
      <alignment horizontal="right" vertical="center"/>
      <protection hidden="1"/>
    </xf>
    <xf numFmtId="172" fontId="4" fillId="2" borderId="42" xfId="0" applyNumberFormat="1" applyFont="1" applyFill="1" applyBorder="1" applyAlignment="1" applyProtection="1">
      <alignment horizontal="right" vertical="center"/>
      <protection hidden="1"/>
    </xf>
    <xf numFmtId="164" fontId="1" fillId="2" borderId="48" xfId="0" applyFont="1" applyFill="1" applyBorder="1" applyAlignment="1" applyProtection="1">
      <alignment horizontal="right" vertical="center"/>
      <protection hidden="1"/>
    </xf>
    <xf numFmtId="164" fontId="8" fillId="0" borderId="49" xfId="0" applyFont="1" applyBorder="1" applyAlignment="1" applyProtection="1">
      <alignment horizontal="right" vertical="center"/>
      <protection hidden="1"/>
    </xf>
    <xf numFmtId="174" fontId="4" fillId="0" borderId="50" xfId="0" applyNumberFormat="1" applyFont="1" applyBorder="1" applyAlignment="1" applyProtection="1">
      <alignment horizontal="right" vertical="center"/>
      <protection hidden="1"/>
    </xf>
    <xf numFmtId="164" fontId="8" fillId="0" borderId="51" xfId="0" applyFont="1" applyBorder="1" applyAlignment="1" applyProtection="1">
      <alignment horizontal="right" vertical="center"/>
      <protection hidden="1"/>
    </xf>
    <xf numFmtId="164" fontId="8" fillId="0" borderId="52" xfId="0" applyFont="1" applyBorder="1" applyAlignment="1" applyProtection="1">
      <alignment horizontal="right" vertical="center"/>
      <protection hidden="1"/>
    </xf>
    <xf numFmtId="168" fontId="1" fillId="0" borderId="0" xfId="0" applyNumberFormat="1" applyFont="1" applyAlignment="1" applyProtection="1">
      <alignment horizontal="center"/>
      <protection hidden="1"/>
    </xf>
    <xf numFmtId="164" fontId="1" fillId="0" borderId="53" xfId="0" applyFont="1" applyBorder="1" applyAlignment="1" applyProtection="1">
      <alignment horizontal="center" vertical="center"/>
      <protection hidden="1"/>
    </xf>
    <xf numFmtId="164" fontId="1" fillId="0" borderId="22" xfId="0" applyFont="1" applyBorder="1" applyAlignment="1" applyProtection="1">
      <alignment vertical="center"/>
      <protection locked="0"/>
    </xf>
    <xf numFmtId="164" fontId="8" fillId="0" borderId="54" xfId="0" applyFont="1" applyBorder="1" applyAlignment="1" applyProtection="1">
      <alignment horizontal="right" vertical="center"/>
      <protection hidden="1"/>
    </xf>
    <xf numFmtId="164" fontId="8" fillId="0" borderId="17" xfId="0" applyFont="1" applyBorder="1" applyAlignment="1" applyProtection="1">
      <alignment horizontal="right" vertical="center"/>
      <protection hidden="1"/>
    </xf>
    <xf numFmtId="164" fontId="8" fillId="0" borderId="44" xfId="0" applyFont="1" applyBorder="1" applyAlignment="1" applyProtection="1">
      <alignment horizontal="right" vertical="center"/>
      <protection hidden="1"/>
    </xf>
    <xf numFmtId="164" fontId="1" fillId="2" borderId="0" xfId="0" applyFont="1" applyFill="1" applyAlignment="1" applyProtection="1">
      <alignment/>
      <protection hidden="1"/>
    </xf>
    <xf numFmtId="172" fontId="4" fillId="2" borderId="51" xfId="0" applyNumberFormat="1" applyFont="1" applyFill="1" applyBorder="1" applyAlignment="1" applyProtection="1">
      <alignment horizontal="right" vertical="center"/>
      <protection hidden="1"/>
    </xf>
    <xf numFmtId="172" fontId="4" fillId="2" borderId="50" xfId="0" applyNumberFormat="1" applyFont="1" applyFill="1" applyBorder="1" applyAlignment="1" applyProtection="1">
      <alignment horizontal="right" vertical="center"/>
      <protection hidden="1"/>
    </xf>
    <xf numFmtId="164" fontId="1" fillId="2" borderId="49" xfId="0" applyFont="1" applyFill="1" applyBorder="1" applyAlignment="1" applyProtection="1">
      <alignment horizontal="right" vertical="center"/>
      <protection hidden="1"/>
    </xf>
    <xf numFmtId="166" fontId="1" fillId="2" borderId="41" xfId="0" applyNumberFormat="1" applyFont="1" applyFill="1" applyBorder="1" applyAlignment="1" applyProtection="1">
      <alignment horizontal="center" vertical="center"/>
      <protection hidden="1"/>
    </xf>
    <xf numFmtId="166" fontId="1" fillId="2" borderId="40" xfId="0" applyNumberFormat="1" applyFont="1" applyFill="1" applyBorder="1" applyAlignment="1" applyProtection="1">
      <alignment horizontal="center" vertical="center"/>
      <protection hidden="1"/>
    </xf>
    <xf numFmtId="172" fontId="4" fillId="2" borderId="40" xfId="0" applyNumberFormat="1" applyFont="1" applyFill="1" applyBorder="1" applyAlignment="1" applyProtection="1">
      <alignment horizontal="right" vertical="center"/>
      <protection hidden="1"/>
    </xf>
    <xf numFmtId="170" fontId="4" fillId="2" borderId="48" xfId="0" applyNumberFormat="1" applyFont="1" applyFill="1" applyBorder="1" applyAlignment="1" applyProtection="1">
      <alignment horizontal="right" vertical="center"/>
      <protection hidden="1"/>
    </xf>
    <xf numFmtId="164" fontId="1" fillId="0" borderId="46" xfId="0" applyFont="1" applyBorder="1" applyAlignment="1" applyProtection="1">
      <alignment vertical="center"/>
      <protection hidden="1"/>
    </xf>
    <xf numFmtId="174" fontId="4" fillId="0" borderId="42" xfId="0" applyNumberFormat="1" applyFont="1" applyBorder="1" applyAlignment="1" applyProtection="1">
      <alignment horizontal="right" vertical="center"/>
      <protection hidden="1"/>
    </xf>
    <xf numFmtId="164" fontId="1" fillId="0" borderId="53" xfId="0" applyFont="1" applyBorder="1" applyAlignment="1" applyProtection="1">
      <alignment vertical="center"/>
      <protection hidden="1"/>
    </xf>
    <xf numFmtId="172" fontId="4" fillId="2" borderId="17" xfId="0" applyNumberFormat="1" applyFont="1" applyFill="1" applyBorder="1" applyAlignment="1" applyProtection="1">
      <alignment horizontal="right" vertical="center"/>
      <protection hidden="1"/>
    </xf>
    <xf numFmtId="172" fontId="4" fillId="2" borderId="20" xfId="0" applyNumberFormat="1" applyFont="1" applyFill="1" applyBorder="1" applyAlignment="1" applyProtection="1">
      <alignment horizontal="right" vertical="center"/>
      <protection hidden="1"/>
    </xf>
    <xf numFmtId="164" fontId="1" fillId="2" borderId="54" xfId="0" applyFont="1" applyFill="1" applyBorder="1" applyAlignment="1" applyProtection="1">
      <alignment horizontal="right" vertical="center"/>
      <protection hidden="1"/>
    </xf>
    <xf numFmtId="164" fontId="1" fillId="0" borderId="13" xfId="0" applyFont="1" applyBorder="1" applyAlignment="1" applyProtection="1">
      <alignment horizontal="left" indent="1"/>
      <protection hidden="1"/>
    </xf>
    <xf numFmtId="164" fontId="1" fillId="0" borderId="0" xfId="0" applyFont="1" applyBorder="1" applyAlignment="1" applyProtection="1">
      <alignment horizontal="left" indent="1"/>
      <protection hidden="1"/>
    </xf>
    <xf numFmtId="164" fontId="1" fillId="0" borderId="47" xfId="0" applyFont="1" applyBorder="1" applyAlignment="1" applyProtection="1">
      <alignment horizontal="left" indent="1"/>
      <protection hidden="1"/>
    </xf>
    <xf numFmtId="164" fontId="14" fillId="0" borderId="0" xfId="0" applyFont="1" applyBorder="1" applyAlignment="1" applyProtection="1">
      <alignment/>
      <protection hidden="1"/>
    </xf>
    <xf numFmtId="164" fontId="6" fillId="0" borderId="8" xfId="0" applyFont="1" applyBorder="1" applyAlignment="1" applyProtection="1">
      <alignment wrapText="1"/>
      <protection hidden="1"/>
    </xf>
    <xf numFmtId="164" fontId="4" fillId="0" borderId="0" xfId="0" applyFont="1" applyAlignment="1" applyProtection="1">
      <alignment/>
      <protection hidden="1"/>
    </xf>
    <xf numFmtId="164" fontId="15" fillId="0" borderId="55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47" xfId="0" applyFont="1" applyBorder="1" applyAlignment="1" applyProtection="1">
      <alignment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" fillId="0" borderId="53" xfId="0" applyFont="1" applyBorder="1" applyAlignment="1" applyProtection="1">
      <alignment/>
      <protection locked="0"/>
    </xf>
    <xf numFmtId="164" fontId="1" fillId="0" borderId="22" xfId="0" applyFont="1" applyBorder="1" applyAlignment="1" applyProtection="1">
      <alignment/>
      <protection locked="0"/>
    </xf>
    <xf numFmtId="164" fontId="1" fillId="0" borderId="24" xfId="0" applyFont="1" applyBorder="1" applyAlignment="1" applyProtection="1">
      <alignment/>
      <protection locked="0"/>
    </xf>
    <xf numFmtId="164" fontId="1" fillId="0" borderId="25" xfId="0" applyFont="1" applyBorder="1" applyAlignment="1" applyProtection="1">
      <alignment vertical="center"/>
      <protection locked="0"/>
    </xf>
    <xf numFmtId="164" fontId="1" fillId="0" borderId="22" xfId="0" applyFont="1" applyBorder="1" applyAlignment="1" applyProtection="1">
      <alignment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 2" xfId="20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285750</xdr:colOff>
      <xdr:row>3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381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showGridLines="0" tabSelected="1" zoomScale="145" zoomScaleNormal="145" zoomScaleSheetLayoutView="85" workbookViewId="0" topLeftCell="A10">
      <pane xSplit="2" topLeftCell="C10" activePane="topRight" state="frozen"/>
      <selection pane="topLeft" activeCell="A10" sqref="A10"/>
      <selection pane="topRight" activeCell="U11" sqref="U11"/>
    </sheetView>
  </sheetViews>
  <sheetFormatPr defaultColWidth="11.421875" defaultRowHeight="12.75"/>
  <cols>
    <col min="1" max="1" width="3.00390625" style="1" customWidth="1"/>
    <col min="2" max="2" width="20.8515625" style="1" customWidth="1"/>
    <col min="3" max="3" width="3.140625" style="1" customWidth="1"/>
    <col min="4" max="4" width="4.7109375" style="1" customWidth="1"/>
    <col min="5" max="6" width="6.00390625" style="1" customWidth="1"/>
    <col min="7" max="7" width="6.7109375" style="1" customWidth="1"/>
    <col min="8" max="8" width="4.8515625" style="1" customWidth="1"/>
    <col min="9" max="9" width="2.00390625" style="1" customWidth="1"/>
    <col min="10" max="10" width="4.8515625" style="1" customWidth="1"/>
    <col min="11" max="11" width="1.8515625" style="1" customWidth="1"/>
    <col min="12" max="12" width="4.8515625" style="1" customWidth="1"/>
    <col min="13" max="13" width="1.8515625" style="1" customWidth="1"/>
    <col min="14" max="14" width="4.57421875" style="1" customWidth="1"/>
    <col min="15" max="15" width="2.57421875" style="1" customWidth="1"/>
    <col min="16" max="16" width="4.8515625" style="1" customWidth="1"/>
    <col min="17" max="17" width="1.8515625" style="1" customWidth="1"/>
    <col min="18" max="18" width="4.8515625" style="1" customWidth="1"/>
    <col min="19" max="19" width="1.8515625" style="1" customWidth="1"/>
    <col min="20" max="20" width="4.8515625" style="1" customWidth="1"/>
    <col min="21" max="21" width="1.8515625" style="1" customWidth="1"/>
    <col min="22" max="24" width="7.140625" style="1" customWidth="1"/>
    <col min="25" max="25" width="2.28125" style="1" customWidth="1"/>
    <col min="26" max="30" width="0" style="2" hidden="1" customWidth="1"/>
    <col min="31" max="37" width="0" style="1" hidden="1" customWidth="1"/>
    <col min="38" max="43" width="0" style="3" hidden="1" customWidth="1"/>
    <col min="44" max="46" width="0" style="1" hidden="1" customWidth="1"/>
    <col min="47" max="53" width="4.00390625" style="1" customWidth="1"/>
    <col min="54" max="16384" width="11.421875" style="1" customWidth="1"/>
  </cols>
  <sheetData>
    <row r="1" spans="2:44" ht="15.75" customHeight="1">
      <c r="B1" s="4" t="s">
        <v>0</v>
      </c>
      <c r="C1" s="5"/>
      <c r="D1" s="6" t="s">
        <v>1</v>
      </c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7"/>
      <c r="Q1" s="8" t="s">
        <v>3</v>
      </c>
      <c r="R1" s="9">
        <v>41075</v>
      </c>
      <c r="S1" s="9"/>
      <c r="T1" s="9"/>
      <c r="U1" s="9"/>
      <c r="V1" s="9"/>
      <c r="W1" s="1" t="s">
        <v>4</v>
      </c>
      <c r="AE1" s="10"/>
      <c r="AF1" s="10"/>
      <c r="AG1" s="10"/>
      <c r="AH1" s="10"/>
      <c r="AI1" s="11"/>
      <c r="AK1" s="12" t="s">
        <v>5</v>
      </c>
      <c r="AL1" s="13">
        <v>2.6565</v>
      </c>
      <c r="AM1" s="14"/>
      <c r="AO1" s="12" t="s">
        <v>6</v>
      </c>
      <c r="AP1" s="15">
        <v>0.784780654</v>
      </c>
      <c r="AQ1" s="12" t="s">
        <v>7</v>
      </c>
      <c r="AR1" s="15">
        <v>1.056683941</v>
      </c>
    </row>
    <row r="2" spans="2:44" ht="15.75" customHeight="1">
      <c r="B2" s="4"/>
      <c r="C2" s="5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8"/>
      <c r="Q2" s="8" t="s">
        <v>8</v>
      </c>
      <c r="R2" s="19">
        <v>0.8125</v>
      </c>
      <c r="S2" s="19"/>
      <c r="T2" s="19"/>
      <c r="U2" s="19"/>
      <c r="V2" s="19"/>
      <c r="W2" s="20" t="s">
        <v>9</v>
      </c>
      <c r="X2" s="20"/>
      <c r="AE2" s="21"/>
      <c r="AF2" s="21"/>
      <c r="AG2" s="21"/>
      <c r="AH2" s="22"/>
      <c r="AI2" s="16"/>
      <c r="AJ2" s="23"/>
      <c r="AK2" s="12" t="s">
        <v>10</v>
      </c>
      <c r="AL2" s="13">
        <v>2.8068</v>
      </c>
      <c r="AM2" s="24"/>
      <c r="AO2" s="12" t="s">
        <v>11</v>
      </c>
      <c r="AP2" s="25">
        <v>173.961</v>
      </c>
      <c r="AQ2" s="12" t="s">
        <v>12</v>
      </c>
      <c r="AR2" s="25">
        <v>125.441</v>
      </c>
    </row>
    <row r="3" spans="2:44" ht="15.75" customHeight="1">
      <c r="B3" s="4"/>
      <c r="C3" s="6" t="s">
        <v>13</v>
      </c>
      <c r="D3" s="6"/>
      <c r="E3" s="6"/>
      <c r="F3" s="26" t="s">
        <v>14</v>
      </c>
      <c r="G3" s="26"/>
      <c r="H3" s="26"/>
      <c r="I3" s="26"/>
      <c r="J3" s="26"/>
      <c r="K3" s="26"/>
      <c r="L3" s="26"/>
      <c r="M3" s="26"/>
      <c r="N3" s="26"/>
      <c r="O3" s="18"/>
      <c r="Q3" s="8" t="s">
        <v>15</v>
      </c>
      <c r="R3" s="19">
        <v>0.8854166666666666</v>
      </c>
      <c r="S3" s="19"/>
      <c r="T3" s="19"/>
      <c r="U3" s="19"/>
      <c r="V3" s="19"/>
      <c r="W3" s="20"/>
      <c r="X3" s="20"/>
      <c r="AE3" s="10"/>
      <c r="AF3" s="10"/>
      <c r="AG3" s="10"/>
      <c r="AH3" s="10"/>
      <c r="AI3" s="11"/>
      <c r="AJ3" s="23"/>
      <c r="AK3" s="23"/>
      <c r="AL3" s="14"/>
      <c r="AM3" s="14"/>
      <c r="AO3" s="12" t="s">
        <v>16</v>
      </c>
      <c r="AP3" s="25">
        <v>32</v>
      </c>
      <c r="AQ3" s="12" t="s">
        <v>17</v>
      </c>
      <c r="AR3" s="25">
        <v>28</v>
      </c>
    </row>
    <row r="4" spans="2:3" ht="4.5" customHeight="1">
      <c r="B4" s="2"/>
      <c r="C4" s="2"/>
    </row>
    <row r="5" spans="1:43" ht="14.25" customHeight="1">
      <c r="A5" s="27" t="s">
        <v>18</v>
      </c>
      <c r="B5" s="28" t="s">
        <v>19</v>
      </c>
      <c r="C5" s="29" t="s">
        <v>20</v>
      </c>
      <c r="D5" s="30" t="s">
        <v>21</v>
      </c>
      <c r="E5" s="30" t="s">
        <v>22</v>
      </c>
      <c r="F5" s="30" t="s">
        <v>23</v>
      </c>
      <c r="G5" s="31" t="s">
        <v>24</v>
      </c>
      <c r="H5" s="32" t="s">
        <v>25</v>
      </c>
      <c r="I5" s="32"/>
      <c r="J5" s="32"/>
      <c r="K5" s="32"/>
      <c r="L5" s="32"/>
      <c r="M5" s="32"/>
      <c r="N5" s="32"/>
      <c r="O5" s="32"/>
      <c r="P5" s="32" t="s">
        <v>26</v>
      </c>
      <c r="Q5" s="32"/>
      <c r="R5" s="32"/>
      <c r="S5" s="32"/>
      <c r="T5" s="32"/>
      <c r="U5" s="32"/>
      <c r="V5" s="32"/>
      <c r="W5" s="33" t="s">
        <v>27</v>
      </c>
      <c r="X5" s="34" t="s">
        <v>28</v>
      </c>
      <c r="Z5" s="35" t="s">
        <v>29</v>
      </c>
      <c r="AA5" s="35"/>
      <c r="AB5" s="35"/>
      <c r="AC5" s="35"/>
      <c r="AE5" s="36" t="s">
        <v>23</v>
      </c>
      <c r="AF5" s="37" t="s">
        <v>24</v>
      </c>
      <c r="AG5" s="38" t="s">
        <v>30</v>
      </c>
      <c r="AH5" s="39" t="s">
        <v>31</v>
      </c>
      <c r="AI5" s="40" t="s">
        <v>32</v>
      </c>
      <c r="AJ5" s="41" t="s">
        <v>27</v>
      </c>
      <c r="AK5" s="42" t="s">
        <v>33</v>
      </c>
      <c r="AL5" s="43" t="s">
        <v>31</v>
      </c>
      <c r="AM5" s="43"/>
      <c r="AN5" s="43"/>
      <c r="AO5" s="43" t="s">
        <v>32</v>
      </c>
      <c r="AP5" s="43"/>
      <c r="AQ5" s="43"/>
    </row>
    <row r="6" spans="1:43" ht="12.75" customHeight="1">
      <c r="A6" s="27"/>
      <c r="B6" s="28"/>
      <c r="C6" s="29"/>
      <c r="D6" s="44" t="s">
        <v>34</v>
      </c>
      <c r="E6" s="44" t="s">
        <v>18</v>
      </c>
      <c r="F6" s="44" t="s">
        <v>35</v>
      </c>
      <c r="G6" s="45" t="s">
        <v>36</v>
      </c>
      <c r="H6" s="46" t="s">
        <v>37</v>
      </c>
      <c r="I6" s="46"/>
      <c r="J6" s="47" t="s">
        <v>38</v>
      </c>
      <c r="K6" s="47"/>
      <c r="L6" s="48" t="s">
        <v>39</v>
      </c>
      <c r="M6" s="48"/>
      <c r="N6" s="49">
        <v>7</v>
      </c>
      <c r="O6" s="49"/>
      <c r="P6" s="46" t="s">
        <v>37</v>
      </c>
      <c r="Q6" s="46"/>
      <c r="R6" s="47" t="s">
        <v>38</v>
      </c>
      <c r="S6" s="47"/>
      <c r="T6" s="47" t="s">
        <v>39</v>
      </c>
      <c r="U6" s="47"/>
      <c r="V6" s="49" t="s">
        <v>40</v>
      </c>
      <c r="W6" s="50" t="s">
        <v>41</v>
      </c>
      <c r="X6" s="51" t="s">
        <v>42</v>
      </c>
      <c r="Z6" s="52" t="s">
        <v>43</v>
      </c>
      <c r="AA6" s="52" t="s">
        <v>44</v>
      </c>
      <c r="AB6" s="52" t="s">
        <v>31</v>
      </c>
      <c r="AC6" s="52" t="s">
        <v>32</v>
      </c>
      <c r="AE6" s="53" t="s">
        <v>35</v>
      </c>
      <c r="AF6" s="54" t="s">
        <v>36</v>
      </c>
      <c r="AG6" s="55" t="s">
        <v>36</v>
      </c>
      <c r="AH6" s="56" t="s">
        <v>40</v>
      </c>
      <c r="AI6" s="57" t="s">
        <v>40</v>
      </c>
      <c r="AJ6" s="58" t="s">
        <v>41</v>
      </c>
      <c r="AK6" s="59" t="s">
        <v>40</v>
      </c>
      <c r="AL6" s="60">
        <v>1</v>
      </c>
      <c r="AM6" s="60">
        <v>2</v>
      </c>
      <c r="AN6" s="60">
        <v>3</v>
      </c>
      <c r="AO6" s="60">
        <v>1</v>
      </c>
      <c r="AP6" s="60">
        <v>2</v>
      </c>
      <c r="AQ6" s="60">
        <v>3</v>
      </c>
    </row>
    <row r="7" spans="1:43" ht="15" customHeight="1">
      <c r="A7" s="61">
        <v>1</v>
      </c>
      <c r="B7" s="62" t="s">
        <v>45</v>
      </c>
      <c r="C7" s="63"/>
      <c r="D7" s="64">
        <v>1984</v>
      </c>
      <c r="E7" s="64">
        <v>4409</v>
      </c>
      <c r="F7" s="65">
        <v>49.7</v>
      </c>
      <c r="G7" s="66">
        <f>AG7</f>
        <v>1.7074</v>
      </c>
      <c r="H7" s="67">
        <v>70</v>
      </c>
      <c r="I7" s="68" t="s">
        <v>46</v>
      </c>
      <c r="J7" s="69">
        <v>70</v>
      </c>
      <c r="K7" s="68"/>
      <c r="L7" s="69">
        <v>0</v>
      </c>
      <c r="M7" s="70"/>
      <c r="N7" s="71">
        <f aca="true" t="shared" si="0" ref="N7:N12">AH7</f>
        <v>119.52</v>
      </c>
      <c r="O7" s="71"/>
      <c r="P7" s="67">
        <v>85</v>
      </c>
      <c r="Q7" s="68"/>
      <c r="R7" s="69">
        <v>90</v>
      </c>
      <c r="S7" s="68" t="s">
        <v>46</v>
      </c>
      <c r="T7" s="69">
        <v>0</v>
      </c>
      <c r="U7" s="68"/>
      <c r="V7" s="71">
        <f aca="true" t="shared" si="1" ref="V7:X11">AI7</f>
        <v>145.13</v>
      </c>
      <c r="W7" s="72">
        <f t="shared" si="1"/>
        <v>155</v>
      </c>
      <c r="X7" s="71">
        <f t="shared" si="1"/>
        <v>264.65</v>
      </c>
      <c r="Z7" s="73">
        <f>IF(D7="","",IF(D7&gt;1900,D7,IF(D7&lt;11,D7+2000,D7+1900)))</f>
        <v>1984</v>
      </c>
      <c r="AA7" s="73">
        <f>IF(Z7="","",YEAR(R1)-(Z7))</f>
        <v>28</v>
      </c>
      <c r="AB7" s="52">
        <f>IF(AA7=17,10,IF(AA7=16,10,IF(AA7=15,20,IF(AA7=14,20,0))))</f>
        <v>0</v>
      </c>
      <c r="AC7" s="52">
        <f>IF(AA7=17,20,IF(AA7=16,20,IF(AA7=15,30,IF(AA7=14,30,0))))</f>
        <v>0</v>
      </c>
      <c r="AE7" s="74">
        <f>ROUND(F7,1)</f>
        <v>49.7</v>
      </c>
      <c r="AF7" s="75">
        <f ca="1">IF(ISBLANK(F7),"",IF(F7&gt;0,IF(AE7&gt;mkgmin_1,IF(AE7&lt;mkgmax_1,ROUND(10^(mwert_1*LOG(OFFSET(AF7,0,-1)/mkgmax_1)^2),4),1),mscfmax_1)))</f>
        <v>1.7074</v>
      </c>
      <c r="AG7" s="76">
        <f>IF(C7="F",AF7+0.4,AF7)</f>
        <v>1.7074</v>
      </c>
      <c r="AH7" s="77">
        <f>IF(B7="","",IF(F7="","",IF(MAX(AL7:AN7)&lt;0,0,ROUND(MAX(AL7:AN7)*$AG7,2))))</f>
        <v>119.52</v>
      </c>
      <c r="AI7" s="78">
        <f>IF(B7="","",IF(F7="","",IF(MAX(AO7:AQ7)&lt;0,0,ROUND(MAX(AO7:AQ7)*$AG7,2))))</f>
        <v>145.13</v>
      </c>
      <c r="AJ7" s="79">
        <f>IF(B7="","",IF(F7="","",MAX(AL7:AN7)+MAX(AO7:AQ7)))</f>
        <v>155</v>
      </c>
      <c r="AK7" s="78">
        <f>IF(B7="","",IF(F7="","",AH7+AI7))</f>
        <v>264.65</v>
      </c>
      <c r="AL7" s="74">
        <f>IF(I7="x",0,H7)</f>
        <v>0</v>
      </c>
      <c r="AM7" s="74">
        <f>IF(K7="x",0,J7)</f>
        <v>70</v>
      </c>
      <c r="AN7" s="74">
        <f>IF(M7="x",0,L7)</f>
        <v>0</v>
      </c>
      <c r="AO7" s="74">
        <f>IF(Q7="x",0,P7)</f>
        <v>85</v>
      </c>
      <c r="AP7" s="74">
        <f>IF(S7="x",0,R7)</f>
        <v>0</v>
      </c>
      <c r="AQ7" s="74">
        <f>IF(U7="x",0,T7)</f>
        <v>0</v>
      </c>
    </row>
    <row r="8" spans="1:43" ht="15" customHeight="1">
      <c r="A8" s="80">
        <v>2</v>
      </c>
      <c r="B8" s="81" t="s">
        <v>47</v>
      </c>
      <c r="C8" s="82"/>
      <c r="D8" s="83">
        <v>1985</v>
      </c>
      <c r="E8" s="83">
        <v>4709</v>
      </c>
      <c r="F8" s="84">
        <v>82.1</v>
      </c>
      <c r="G8" s="85">
        <f>AG8</f>
        <v>1.2119</v>
      </c>
      <c r="H8" s="86">
        <v>82</v>
      </c>
      <c r="I8" s="87" t="s">
        <v>46</v>
      </c>
      <c r="J8" s="88">
        <v>82</v>
      </c>
      <c r="K8" s="87"/>
      <c r="L8" s="88">
        <v>87</v>
      </c>
      <c r="M8" s="89" t="s">
        <v>46</v>
      </c>
      <c r="N8" s="90">
        <f t="shared" si="0"/>
        <v>99.38</v>
      </c>
      <c r="O8" s="90"/>
      <c r="P8" s="86">
        <v>100</v>
      </c>
      <c r="Q8" s="87"/>
      <c r="R8" s="88">
        <v>105</v>
      </c>
      <c r="S8" s="87"/>
      <c r="T8" s="88">
        <v>108</v>
      </c>
      <c r="U8" s="87"/>
      <c r="V8" s="90">
        <f t="shared" si="1"/>
        <v>130.89</v>
      </c>
      <c r="W8" s="91">
        <f t="shared" si="1"/>
        <v>190</v>
      </c>
      <c r="X8" s="90">
        <f t="shared" si="1"/>
        <v>230.26999999999998</v>
      </c>
      <c r="Z8" s="73">
        <f>IF(D8="","",IF(D8&gt;1900,D8,IF(D8&lt;11,D8+2000,D8+1900)))</f>
        <v>1985</v>
      </c>
      <c r="AA8" s="73">
        <f>IF(Z8="","",YEAR(R1)-(Z8))</f>
        <v>27</v>
      </c>
      <c r="AB8" s="52">
        <f>IF(AA8=17,10,IF(AA8=16,10,IF(AA8=15,20,IF(AA8=14,20,0))))</f>
        <v>0</v>
      </c>
      <c r="AC8" s="52">
        <f>IF(AA8=17,20,IF(AA8=16,20,IF(AA8=15,30,IF(AA8=14,30,0))))</f>
        <v>0</v>
      </c>
      <c r="AE8" s="74">
        <f>ROUND(F8,1)</f>
        <v>82.1</v>
      </c>
      <c r="AF8" s="75">
        <f ca="1">IF(ISBLANK(F8),"",IF(F8&gt;0,IF(AE8&gt;mkgmin_1,IF(AE8&lt;mkgmax_1,ROUND(10^(mwert_1*LOG(OFFSET(AF8,0,-1)/mkgmax_1)^2),4),1),mscfmax_1)))</f>
        <v>1.2119</v>
      </c>
      <c r="AG8" s="76">
        <f>IF(C8="F",AF8+0.4,AF8)</f>
        <v>1.2119</v>
      </c>
      <c r="AH8" s="77">
        <f>IF(B8="","",IF(F8="","",IF(MAX(AL8:AN8)&lt;0,0,ROUND(MAX(AL8:AN8)*$AG8,2))))</f>
        <v>99.38</v>
      </c>
      <c r="AI8" s="78">
        <f>IF(B8="","",IF(F8="","",IF(MAX(AO8:AQ8)&lt;0,0,ROUND(MAX(AO8:AQ8)*$AG8,2))))</f>
        <v>130.89</v>
      </c>
      <c r="AJ8" s="79">
        <f>IF(B8="","",IF(F8="","",MAX(AL8:AN8)+MAX(AO8:AQ8)))</f>
        <v>190</v>
      </c>
      <c r="AK8" s="78">
        <f>IF(B8="","",IF(F8="","",AH8+AI8))</f>
        <v>230.26999999999998</v>
      </c>
      <c r="AL8" s="74">
        <f>IF(I8="x",0,H8)</f>
        <v>0</v>
      </c>
      <c r="AM8" s="74">
        <f>IF(K8="x",0,J8)</f>
        <v>82</v>
      </c>
      <c r="AN8" s="74">
        <f>IF(M8="x",0,L8)</f>
        <v>0</v>
      </c>
      <c r="AO8" s="74">
        <f>IF(Q8="x",0,P8)</f>
        <v>100</v>
      </c>
      <c r="AP8" s="74">
        <f>IF(S8="x",0,R8)</f>
        <v>105</v>
      </c>
      <c r="AQ8" s="74">
        <f>IF(U8="x",0,T8)</f>
        <v>108</v>
      </c>
    </row>
    <row r="9" spans="1:43" ht="15" customHeight="1">
      <c r="A9" s="80">
        <v>3</v>
      </c>
      <c r="B9" s="81" t="s">
        <v>48</v>
      </c>
      <c r="C9" s="82"/>
      <c r="D9" s="83">
        <v>1968</v>
      </c>
      <c r="E9" s="83">
        <v>2716</v>
      </c>
      <c r="F9" s="84">
        <v>84.6</v>
      </c>
      <c r="G9" s="85">
        <f>AG9</f>
        <v>1.1938</v>
      </c>
      <c r="H9" s="86">
        <v>95</v>
      </c>
      <c r="I9" s="87"/>
      <c r="J9" s="88">
        <v>100</v>
      </c>
      <c r="K9" s="87"/>
      <c r="L9" s="88">
        <v>105</v>
      </c>
      <c r="M9" s="89" t="s">
        <v>46</v>
      </c>
      <c r="N9" s="90">
        <f t="shared" si="0"/>
        <v>119.38</v>
      </c>
      <c r="O9" s="90"/>
      <c r="P9" s="86">
        <v>110</v>
      </c>
      <c r="Q9" s="87"/>
      <c r="R9" s="88">
        <v>115</v>
      </c>
      <c r="S9" s="87"/>
      <c r="T9" s="88">
        <v>0</v>
      </c>
      <c r="U9" s="87"/>
      <c r="V9" s="90">
        <f t="shared" si="1"/>
        <v>137.29</v>
      </c>
      <c r="W9" s="91">
        <f t="shared" si="1"/>
        <v>215</v>
      </c>
      <c r="X9" s="90">
        <f t="shared" si="1"/>
        <v>256.66999999999996</v>
      </c>
      <c r="Z9" s="73">
        <f>IF(D9="","",IF(D9&gt;1900,D9,IF(D9&lt;11,D9+2000,D9+1900)))</f>
        <v>1968</v>
      </c>
      <c r="AA9" s="73">
        <f>IF(Z9="","",YEAR(R1)-(Z9))</f>
        <v>44</v>
      </c>
      <c r="AB9" s="52">
        <f>IF(AA9=17,10,IF(AA9=16,10,IF(AA9=15,20,IF(AA9=14,20,0))))</f>
        <v>0</v>
      </c>
      <c r="AC9" s="52">
        <f>IF(AA9=17,20,IF(AA9=16,20,IF(AA9=15,30,IF(AA9=14,30,0))))</f>
        <v>0</v>
      </c>
      <c r="AE9" s="74">
        <f>ROUND(F9,1)</f>
        <v>84.6</v>
      </c>
      <c r="AF9" s="75">
        <f ca="1">IF(ISBLANK(F9),"",IF(F9&gt;0,IF(AE9&gt;mkgmin_1,IF(AE9&lt;mkgmax_1,ROUND(10^(mwert_1*LOG(OFFSET(AF9,0,-1)/mkgmax_1)^2),4),1),mscfmax_1)))</f>
        <v>1.1938</v>
      </c>
      <c r="AG9" s="76">
        <f>IF(C9="F",AF9+0.4,AF9)</f>
        <v>1.1938</v>
      </c>
      <c r="AH9" s="77">
        <f>IF(B9="","",IF(F9="","",IF(MAX(AL9:AN9)&lt;0,0,ROUND(MAX(AL9:AN9)*$AG9,2))))</f>
        <v>119.38</v>
      </c>
      <c r="AI9" s="78">
        <f>IF(B9="","",IF(F9="","",IF(MAX(AO9:AQ9)&lt;0,0,ROUND(MAX(AO9:AQ9)*$AG9,2))))</f>
        <v>137.29</v>
      </c>
      <c r="AJ9" s="79">
        <f>IF(B9="","",IF(F9="","",MAX(AL9:AN9)+MAX(AO9:AQ9)))</f>
        <v>215</v>
      </c>
      <c r="AK9" s="78">
        <f>IF(B9="","",IF(F9="","",AH9+AI9))</f>
        <v>256.66999999999996</v>
      </c>
      <c r="AL9" s="74">
        <f>IF(I9="x",0,H9)</f>
        <v>95</v>
      </c>
      <c r="AM9" s="74">
        <f>IF(K9="x",0,J9)</f>
        <v>100</v>
      </c>
      <c r="AN9" s="74">
        <f>IF(M9="x",0,L9)</f>
        <v>0</v>
      </c>
      <c r="AO9" s="74">
        <f>IF(Q9="x",0,P9)</f>
        <v>110</v>
      </c>
      <c r="AP9" s="74">
        <f>IF(S9="x",0,R9)</f>
        <v>115</v>
      </c>
      <c r="AQ9" s="74">
        <f>IF(U9="x",0,T9)</f>
        <v>0</v>
      </c>
    </row>
    <row r="10" spans="1:43" ht="15" customHeight="1">
      <c r="A10" s="80">
        <v>4</v>
      </c>
      <c r="B10" s="81" t="s">
        <v>49</v>
      </c>
      <c r="C10" s="82"/>
      <c r="D10" s="83">
        <v>1988</v>
      </c>
      <c r="E10" s="83">
        <v>4630</v>
      </c>
      <c r="F10" s="84">
        <v>81.5</v>
      </c>
      <c r="G10" s="85">
        <f>AG10</f>
        <v>1.2165</v>
      </c>
      <c r="H10" s="86">
        <v>108</v>
      </c>
      <c r="I10" s="87" t="s">
        <v>46</v>
      </c>
      <c r="J10" s="88">
        <v>108</v>
      </c>
      <c r="K10" s="87"/>
      <c r="L10" s="88">
        <v>115</v>
      </c>
      <c r="M10" s="89" t="s">
        <v>46</v>
      </c>
      <c r="N10" s="90">
        <f t="shared" si="0"/>
        <v>131.38</v>
      </c>
      <c r="O10" s="90"/>
      <c r="P10" s="86">
        <v>130</v>
      </c>
      <c r="Q10" s="87"/>
      <c r="R10" s="88">
        <v>137</v>
      </c>
      <c r="S10" s="87"/>
      <c r="T10" s="88">
        <v>142</v>
      </c>
      <c r="U10" s="87" t="s">
        <v>46</v>
      </c>
      <c r="V10" s="90">
        <f t="shared" si="1"/>
        <v>166.66</v>
      </c>
      <c r="W10" s="91">
        <f t="shared" si="1"/>
        <v>245</v>
      </c>
      <c r="X10" s="90">
        <f t="shared" si="1"/>
        <v>298.03999999999996</v>
      </c>
      <c r="Z10" s="73">
        <f>IF(D10="","",IF(D10&gt;1900,D10,IF(D10&lt;11,D10+2000,D10+1900)))</f>
        <v>1988</v>
      </c>
      <c r="AA10" s="73">
        <f>IF(Z10="","",YEAR(R1)-(Z10))</f>
        <v>24</v>
      </c>
      <c r="AB10" s="52">
        <f>IF(AA10=17,10,IF(AA10=16,10,IF(AA10=15,20,IF(AA10=14,20,0))))</f>
        <v>0</v>
      </c>
      <c r="AC10" s="52">
        <f>IF(AA10=17,20,IF(AA10=16,20,IF(AA10=15,30,IF(AA10=14,30,0))))</f>
        <v>0</v>
      </c>
      <c r="AE10" s="74">
        <f>ROUND(F10,1)</f>
        <v>81.5</v>
      </c>
      <c r="AF10" s="75">
        <f ca="1">IF(ISBLANK(F10),"",IF(F10&gt;0,IF(AE10&gt;mkgmin_1,IF(AE10&lt;mkgmax_1,ROUND(10^(mwert_1*LOG(OFFSET(AF10,0,-1)/mkgmax_1)^2),4),1),mscfmax_1)))</f>
        <v>1.2165</v>
      </c>
      <c r="AG10" s="76">
        <f>IF(C10="F",AF10+0.4,AF10)</f>
        <v>1.2165</v>
      </c>
      <c r="AH10" s="77">
        <f>IF(B10="","",IF(F10="","",IF(MAX(AL10:AN10)&lt;0,0,ROUND(MAX(AL10:AN10)*$AG10,2))))</f>
        <v>131.38</v>
      </c>
      <c r="AI10" s="78">
        <f>IF(B10="","",IF(F10="","",IF(MAX(AO10:AQ10)&lt;0,0,ROUND(MAX(AO10:AQ10)*$AG10,2))))</f>
        <v>166.66</v>
      </c>
      <c r="AJ10" s="79">
        <f>IF(B10="","",IF(F10="","",MAX(AL10:AN10)+MAX(AO10:AQ10)))</f>
        <v>245</v>
      </c>
      <c r="AK10" s="78">
        <f>IF(B10="","",IF(F10="","",AH10+AI10))</f>
        <v>298.03999999999996</v>
      </c>
      <c r="AL10" s="74">
        <f>IF(I10="x",0,H10)</f>
        <v>0</v>
      </c>
      <c r="AM10" s="74">
        <f>IF(K10="x",0,J10)</f>
        <v>108</v>
      </c>
      <c r="AN10" s="74">
        <f>IF(M10="x",0,L10)</f>
        <v>0</v>
      </c>
      <c r="AO10" s="74">
        <f>IF(Q10="x",0,P10)</f>
        <v>130</v>
      </c>
      <c r="AP10" s="74">
        <f>IF(S10="x",0,R10)</f>
        <v>137</v>
      </c>
      <c r="AQ10" s="74">
        <f>IF(U10="x",0,T10)</f>
        <v>0</v>
      </c>
    </row>
    <row r="11" spans="1:43" ht="15" customHeight="1">
      <c r="A11" s="92">
        <v>5</v>
      </c>
      <c r="B11" s="93" t="s">
        <v>50</v>
      </c>
      <c r="C11" s="94"/>
      <c r="D11" s="95">
        <v>1968</v>
      </c>
      <c r="E11" s="95">
        <v>2338</v>
      </c>
      <c r="F11" s="96">
        <v>83.5</v>
      </c>
      <c r="G11" s="97">
        <f>AG11</f>
        <v>1.2016</v>
      </c>
      <c r="H11" s="98">
        <v>72</v>
      </c>
      <c r="I11" s="99"/>
      <c r="J11" s="100">
        <v>77</v>
      </c>
      <c r="K11" s="99"/>
      <c r="L11" s="100">
        <v>80</v>
      </c>
      <c r="M11" s="101"/>
      <c r="N11" s="102">
        <f t="shared" si="0"/>
        <v>96.13</v>
      </c>
      <c r="O11" s="102"/>
      <c r="P11" s="98">
        <v>90</v>
      </c>
      <c r="Q11" s="99"/>
      <c r="R11" s="100">
        <v>100</v>
      </c>
      <c r="S11" s="99" t="s">
        <v>46</v>
      </c>
      <c r="T11" s="100">
        <v>100</v>
      </c>
      <c r="U11" s="99"/>
      <c r="V11" s="102">
        <f t="shared" si="1"/>
        <v>120.16</v>
      </c>
      <c r="W11" s="103">
        <f t="shared" si="1"/>
        <v>180</v>
      </c>
      <c r="X11" s="102">
        <f t="shared" si="1"/>
        <v>216.29</v>
      </c>
      <c r="Z11" s="73">
        <f>IF(D11="","",IF(D11&gt;1900,D11,IF(D11&lt;11,D11+2000,D11+1900)))</f>
        <v>1968</v>
      </c>
      <c r="AA11" s="73">
        <f>IF(Z11="","",YEAR(R1)-(Z11))</f>
        <v>44</v>
      </c>
      <c r="AB11" s="52">
        <f>IF(AA11=17,10,IF(AA11=16,10,IF(AA11=15,20,IF(AA11=14,20,0))))</f>
        <v>0</v>
      </c>
      <c r="AC11" s="52">
        <f>IF(AA11=17,20,IF(AA11=16,20,IF(AA11=15,30,IF(AA11=14,30,0))))</f>
        <v>0</v>
      </c>
      <c r="AE11" s="74">
        <f>ROUND(F11,1)</f>
        <v>83.5</v>
      </c>
      <c r="AF11" s="75">
        <f ca="1">IF(ISBLANK(F11),"",IF(F11&gt;0,IF(AE11&gt;mkgmin_1,IF(AE11&lt;mkgmax_1,ROUND(10^(mwert_1*LOG(OFFSET(AF11,0,-1)/mkgmax_1)^2),4),1),mscfmax_1)))</f>
        <v>1.2016</v>
      </c>
      <c r="AG11" s="76">
        <f>IF(C11="F",AF11+0.4,AF11)</f>
        <v>1.2016</v>
      </c>
      <c r="AH11" s="77">
        <f>IF(B11="","",IF(F11="","",IF(MAX(AL11:AN11)&lt;0,0,ROUND(MAX(AL11:AN11)*$AG11,2))))</f>
        <v>96.13</v>
      </c>
      <c r="AI11" s="78">
        <f>IF(B11="","",IF(F11="","",IF(MAX(AO11:AQ11)&lt;0,0,ROUND(MAX(AO11:AQ11)*$AG11,2))))</f>
        <v>120.16</v>
      </c>
      <c r="AJ11" s="79">
        <f>IF(B11="","",IF(F11="","",MAX(AL11:AN11)+MAX(AO11:AQ11)))</f>
        <v>180</v>
      </c>
      <c r="AK11" s="78">
        <f>IF(B11="","",IF(F11="","",AH11+AI11))</f>
        <v>216.29</v>
      </c>
      <c r="AL11" s="74">
        <f>IF(I11="x",0,H11)</f>
        <v>72</v>
      </c>
      <c r="AM11" s="74">
        <f>IF(K11="x",0,J11)</f>
        <v>77</v>
      </c>
      <c r="AN11" s="74">
        <f>IF(M11="x",0,L11)</f>
        <v>80</v>
      </c>
      <c r="AO11" s="74">
        <f>IF(Q11="x",0,P11)</f>
        <v>90</v>
      </c>
      <c r="AP11" s="74">
        <f>IF(S11="x",0,R11)</f>
        <v>0</v>
      </c>
      <c r="AQ11" s="74">
        <f>IF(U11="x",0,T11)</f>
        <v>100</v>
      </c>
    </row>
    <row r="12" spans="1:46" ht="15" customHeight="1">
      <c r="A12" s="104"/>
      <c r="B12" s="105" t="s">
        <v>51</v>
      </c>
      <c r="C12" s="106"/>
      <c r="D12" s="106"/>
      <c r="E12" s="106"/>
      <c r="F12" s="106"/>
      <c r="G12" s="107"/>
      <c r="H12" s="108" t="s">
        <v>52</v>
      </c>
      <c r="I12" s="108"/>
      <c r="J12" s="108"/>
      <c r="K12" s="108"/>
      <c r="L12" s="108"/>
      <c r="M12" s="108"/>
      <c r="N12" s="109">
        <f t="shared" si="0"/>
        <v>565.79</v>
      </c>
      <c r="O12" s="109"/>
      <c r="P12" s="110" t="s">
        <v>53</v>
      </c>
      <c r="Q12" s="110"/>
      <c r="R12" s="110"/>
      <c r="S12" s="110"/>
      <c r="T12" s="110"/>
      <c r="U12" s="110"/>
      <c r="V12" s="109">
        <f>AI12</f>
        <v>700.1299999999999</v>
      </c>
      <c r="W12" s="111" t="s">
        <v>54</v>
      </c>
      <c r="X12" s="109">
        <f aca="true" t="shared" si="2" ref="X12:X24">AK12</f>
        <v>1265.9199999999998</v>
      </c>
      <c r="Z12" s="52"/>
      <c r="AA12" s="52"/>
      <c r="AB12" s="52"/>
      <c r="AC12" s="52"/>
      <c r="AE12" s="112">
        <f>LARGE(AB7:AB11,1)</f>
        <v>0</v>
      </c>
      <c r="AF12" s="112">
        <f>LARGE(AC7:AC11,1)</f>
        <v>0</v>
      </c>
      <c r="AG12" s="52" t="s">
        <v>55</v>
      </c>
      <c r="AH12" s="77">
        <f>SUM(AH7:AH11)</f>
        <v>565.79</v>
      </c>
      <c r="AI12" s="78">
        <f>SUM(AI7:AI11)</f>
        <v>700.1299999999999</v>
      </c>
      <c r="AJ12" s="113" t="s">
        <v>54</v>
      </c>
      <c r="AK12" s="78">
        <f>SUM(AK7:AK11)</f>
        <v>1265.9199999999998</v>
      </c>
      <c r="AL12" s="114"/>
      <c r="AM12" s="114"/>
      <c r="AN12" s="115"/>
      <c r="AO12" s="114"/>
      <c r="AP12" s="114"/>
      <c r="AQ12" s="115"/>
      <c r="AR12" s="8" t="s">
        <v>56</v>
      </c>
      <c r="AS12" s="116" t="s">
        <v>57</v>
      </c>
      <c r="AT12" s="117">
        <f>IF(AH24=0,0,IF(AI24=0,0,IF(AND(SIGN(AK24)=SIGN(AI24),SIGN(AK24)=SIGN(AH24)),0,1)))</f>
        <v>0</v>
      </c>
    </row>
    <row r="13" spans="1:45" ht="15" customHeight="1">
      <c r="A13" s="104"/>
      <c r="B13" s="118" t="s">
        <v>58</v>
      </c>
      <c r="C13" s="118"/>
      <c r="D13" s="118"/>
      <c r="E13" s="118"/>
      <c r="F13" s="118"/>
      <c r="G13" s="118"/>
      <c r="H13" s="119" t="s">
        <v>29</v>
      </c>
      <c r="I13" s="119"/>
      <c r="J13" s="119"/>
      <c r="K13" s="119"/>
      <c r="L13" s="119"/>
      <c r="M13" s="119"/>
      <c r="N13" s="90">
        <f>AB13</f>
        <v>0</v>
      </c>
      <c r="O13" s="90"/>
      <c r="P13" s="120" t="s">
        <v>29</v>
      </c>
      <c r="Q13" s="120"/>
      <c r="R13" s="120"/>
      <c r="S13" s="120"/>
      <c r="T13" s="120"/>
      <c r="U13" s="120"/>
      <c r="V13" s="90">
        <f>AC13</f>
        <v>0</v>
      </c>
      <c r="W13" s="121" t="s">
        <v>59</v>
      </c>
      <c r="X13" s="90">
        <f t="shared" si="2"/>
        <v>0</v>
      </c>
      <c r="Z13" s="52"/>
      <c r="AA13" s="52" t="s">
        <v>60</v>
      </c>
      <c r="AB13" s="52">
        <f>MAX(AB7:AB11)</f>
        <v>0</v>
      </c>
      <c r="AC13" s="52">
        <f>MAX(AC7:AC11)</f>
        <v>0</v>
      </c>
      <c r="AE13" s="112">
        <f>LARGE(AB7:AB11,2)</f>
        <v>0</v>
      </c>
      <c r="AF13" s="112">
        <f>LARGE(AC7:AC11,2)</f>
        <v>0</v>
      </c>
      <c r="AG13" s="52" t="s">
        <v>61</v>
      </c>
      <c r="AH13" s="122">
        <f>N13</f>
        <v>0</v>
      </c>
      <c r="AI13" s="123">
        <f>V13</f>
        <v>0</v>
      </c>
      <c r="AJ13" s="124" t="s">
        <v>59</v>
      </c>
      <c r="AK13" s="123">
        <f>SUM(AH13+AI13)</f>
        <v>0</v>
      </c>
      <c r="AL13" s="114"/>
      <c r="AM13" s="114"/>
      <c r="AN13" s="115"/>
      <c r="AO13" s="114"/>
      <c r="AP13" s="114"/>
      <c r="AQ13" s="115"/>
      <c r="AR13" s="2" t="s">
        <v>62</v>
      </c>
      <c r="AS13" s="2" t="s">
        <v>63</v>
      </c>
    </row>
    <row r="14" spans="1:45" ht="15" customHeight="1">
      <c r="A14" s="104"/>
      <c r="B14" s="118"/>
      <c r="C14" s="118"/>
      <c r="D14" s="118"/>
      <c r="E14" s="118"/>
      <c r="F14" s="118"/>
      <c r="G14" s="118"/>
      <c r="H14" s="125" t="s">
        <v>64</v>
      </c>
      <c r="I14" s="125"/>
      <c r="J14" s="125"/>
      <c r="K14" s="125"/>
      <c r="L14" s="125"/>
      <c r="M14" s="125"/>
      <c r="N14" s="126">
        <f aca="true" t="shared" si="3" ref="N14:N21">AH14</f>
        <v>565.79</v>
      </c>
      <c r="O14" s="126"/>
      <c r="P14" s="127" t="s">
        <v>64</v>
      </c>
      <c r="Q14" s="127"/>
      <c r="R14" s="127"/>
      <c r="S14" s="127"/>
      <c r="T14" s="127"/>
      <c r="U14" s="127"/>
      <c r="V14" s="126">
        <f aca="true" t="shared" si="4" ref="V14:V21">AI14</f>
        <v>700.1299999999999</v>
      </c>
      <c r="W14" s="128" t="s">
        <v>64</v>
      </c>
      <c r="X14" s="126">
        <f t="shared" si="2"/>
        <v>1265.9199999999998</v>
      </c>
      <c r="Z14" s="52"/>
      <c r="AA14" s="52"/>
      <c r="AB14" s="52"/>
      <c r="AC14" s="52"/>
      <c r="AE14" s="112">
        <f>LARGE(AB7:AB11,3)</f>
        <v>0</v>
      </c>
      <c r="AF14" s="112">
        <f>LARGE(AC7:AC11,3)</f>
        <v>0</v>
      </c>
      <c r="AG14" s="52" t="s">
        <v>65</v>
      </c>
      <c r="AH14" s="122">
        <f>AH12+AH13</f>
        <v>565.79</v>
      </c>
      <c r="AI14" s="123">
        <f>AI12+AI13</f>
        <v>700.1299999999999</v>
      </c>
      <c r="AJ14" s="124" t="s">
        <v>64</v>
      </c>
      <c r="AK14" s="123">
        <f>AK12+AK13</f>
        <v>1265.9199999999998</v>
      </c>
      <c r="AL14" s="114"/>
      <c r="AM14" s="114"/>
      <c r="AN14" s="115"/>
      <c r="AO14" s="114"/>
      <c r="AP14" s="114"/>
      <c r="AQ14" s="115"/>
      <c r="AR14" s="129" t="s">
        <v>66</v>
      </c>
      <c r="AS14" s="129" t="s">
        <v>67</v>
      </c>
    </row>
    <row r="15" spans="1:45" ht="15" customHeight="1">
      <c r="A15" s="130"/>
      <c r="B15" s="131"/>
      <c r="C15" s="131"/>
      <c r="D15" s="131"/>
      <c r="E15" s="131"/>
      <c r="F15" s="131"/>
      <c r="G15" s="131"/>
      <c r="H15" s="132" t="s">
        <v>68</v>
      </c>
      <c r="I15" s="132"/>
      <c r="J15" s="132"/>
      <c r="K15" s="132"/>
      <c r="L15" s="132"/>
      <c r="M15" s="132"/>
      <c r="N15" s="102">
        <f t="shared" si="3"/>
        <v>-10.300000000000068</v>
      </c>
      <c r="O15" s="102"/>
      <c r="P15" s="133" t="s">
        <v>68</v>
      </c>
      <c r="Q15" s="133"/>
      <c r="R15" s="133"/>
      <c r="S15" s="133"/>
      <c r="T15" s="133"/>
      <c r="U15" s="133"/>
      <c r="V15" s="102">
        <f t="shared" si="4"/>
        <v>-45.72000000000014</v>
      </c>
      <c r="W15" s="134" t="s">
        <v>69</v>
      </c>
      <c r="X15" s="102">
        <f t="shared" si="2"/>
        <v>-56.01999999999998</v>
      </c>
      <c r="Z15" s="52" t="s">
        <v>43</v>
      </c>
      <c r="AA15" s="52" t="s">
        <v>44</v>
      </c>
      <c r="AB15" s="52" t="s">
        <v>31</v>
      </c>
      <c r="AC15" s="52" t="s">
        <v>32</v>
      </c>
      <c r="AE15" s="135"/>
      <c r="AF15" s="135"/>
      <c r="AG15" s="135"/>
      <c r="AH15" s="136">
        <f>AH14-AH23</f>
        <v>-10.300000000000068</v>
      </c>
      <c r="AI15" s="137">
        <f>AI14-AI23</f>
        <v>-45.72000000000014</v>
      </c>
      <c r="AJ15" s="138" t="s">
        <v>69</v>
      </c>
      <c r="AK15" s="137">
        <f>AK14-AK23</f>
        <v>-56.01999999999998</v>
      </c>
      <c r="AL15" s="114"/>
      <c r="AM15" s="114"/>
      <c r="AN15" s="115"/>
      <c r="AO15" s="114"/>
      <c r="AP15" s="114"/>
      <c r="AQ15" s="115"/>
      <c r="AR15" s="129" t="s">
        <v>70</v>
      </c>
      <c r="AS15" s="129" t="s">
        <v>71</v>
      </c>
    </row>
    <row r="16" spans="1:45" ht="15" customHeight="1">
      <c r="A16" s="61">
        <v>6</v>
      </c>
      <c r="B16" s="62" t="s">
        <v>72</v>
      </c>
      <c r="C16" s="63"/>
      <c r="D16" s="64">
        <v>1977</v>
      </c>
      <c r="E16" s="64">
        <v>4443</v>
      </c>
      <c r="F16" s="65">
        <v>62</v>
      </c>
      <c r="G16" s="66">
        <f>AG16</f>
        <v>1.4373</v>
      </c>
      <c r="H16" s="67">
        <v>77</v>
      </c>
      <c r="I16" s="68" t="s">
        <v>46</v>
      </c>
      <c r="J16" s="69">
        <v>77</v>
      </c>
      <c r="K16" s="68" t="s">
        <v>46</v>
      </c>
      <c r="L16" s="69">
        <v>77</v>
      </c>
      <c r="M16" s="70"/>
      <c r="N16" s="71">
        <f t="shared" si="3"/>
        <v>110.67</v>
      </c>
      <c r="O16" s="71"/>
      <c r="P16" s="67">
        <v>100</v>
      </c>
      <c r="Q16" s="68"/>
      <c r="R16" s="69">
        <v>105</v>
      </c>
      <c r="S16" s="68"/>
      <c r="T16" s="69">
        <v>108</v>
      </c>
      <c r="U16" s="68" t="s">
        <v>46</v>
      </c>
      <c r="V16" s="71">
        <f t="shared" si="4"/>
        <v>150.92</v>
      </c>
      <c r="W16" s="72">
        <f>AJ16</f>
        <v>182</v>
      </c>
      <c r="X16" s="71">
        <f t="shared" si="2"/>
        <v>261.59</v>
      </c>
      <c r="Z16" s="73">
        <f>IF(D16="","",IF(D16&gt;1900,D16,IF(D16&lt;11,D16+2000,D16+1900)))</f>
        <v>1977</v>
      </c>
      <c r="AA16" s="73">
        <f>IF(Z16="","",YEAR(R1)-(Z16))</f>
        <v>35</v>
      </c>
      <c r="AB16" s="52">
        <f>IF(AA16=17,10,IF(AA16=16,10,IF(AA16=15,20,IF(AA16=14,20,0))))</f>
        <v>0</v>
      </c>
      <c r="AC16" s="52">
        <f>IF(AA16=17,20,IF(AA16=16,20,IF(AA16=15,30,IF(AA16=14,30,0))))</f>
        <v>0</v>
      </c>
      <c r="AE16" s="74">
        <f>ROUND(F16,1)</f>
        <v>62</v>
      </c>
      <c r="AF16" s="139">
        <f ca="1">IF(ISBLANK(F16),"",IF(F16&gt;0,IF(AE16&gt;mkgmin_1,IF(AE16&lt;mkgmax_1,ROUND(10^(mwert_1*LOG(OFFSET(AF16,0,-1)/mkgmax_1)^2),4),1),mscfmax_1)))</f>
        <v>1.4373</v>
      </c>
      <c r="AG16" s="140">
        <f>IF(C16="F",AF16+0.4,AF16)</f>
        <v>1.4373</v>
      </c>
      <c r="AH16" s="141">
        <f>IF(B16="","",IF(F16="","",IF(MAX(AL16:AN16)&lt;0,0,ROUND(MAX(AL16:AN16)*$AG16,2))))</f>
        <v>110.67</v>
      </c>
      <c r="AI16" s="123">
        <f>IF(B16="","",IF(F16="","",IF(MAX(AO16:AQ16)&lt;0,0,ROUND(MAX(AO16:AQ16)*$AG16,2))))</f>
        <v>150.92</v>
      </c>
      <c r="AJ16" s="142">
        <f>IF(B16="","",IF(F16="","",MAX(AL16:AN16)+MAX(AO16:AQ16)))</f>
        <v>182</v>
      </c>
      <c r="AK16" s="123">
        <f>IF(B16="","",IF(F16="","",AH16+AI16))</f>
        <v>261.59</v>
      </c>
      <c r="AL16" s="74">
        <f>IF(I16="x",0,H16)</f>
        <v>0</v>
      </c>
      <c r="AM16" s="74">
        <f>IF(K16="x",0,J16)</f>
        <v>0</v>
      </c>
      <c r="AN16" s="74">
        <f>IF(M16="x",0,L16)</f>
        <v>77</v>
      </c>
      <c r="AO16" s="74">
        <f>IF(Q16="x",0,P16)</f>
        <v>100</v>
      </c>
      <c r="AP16" s="74">
        <f>IF(S16="x",0,R16)</f>
        <v>105</v>
      </c>
      <c r="AQ16" s="74">
        <f>IF(U16="x",0,T16)</f>
        <v>0</v>
      </c>
      <c r="AR16" s="129" t="s">
        <v>73</v>
      </c>
      <c r="AS16" s="129" t="s">
        <v>74</v>
      </c>
    </row>
    <row r="17" spans="1:45" ht="15" customHeight="1">
      <c r="A17" s="80">
        <v>7</v>
      </c>
      <c r="B17" s="81" t="s">
        <v>75</v>
      </c>
      <c r="C17" s="82"/>
      <c r="D17" s="83">
        <v>1982</v>
      </c>
      <c r="E17" s="83">
        <v>4116</v>
      </c>
      <c r="F17" s="84">
        <v>68.2</v>
      </c>
      <c r="G17" s="85">
        <f>AG17</f>
        <v>1.3483</v>
      </c>
      <c r="H17" s="86">
        <v>85</v>
      </c>
      <c r="I17" s="87"/>
      <c r="J17" s="88">
        <v>90</v>
      </c>
      <c r="K17" s="87"/>
      <c r="L17" s="88">
        <v>92</v>
      </c>
      <c r="M17" s="89"/>
      <c r="N17" s="90">
        <f t="shared" si="3"/>
        <v>124.04</v>
      </c>
      <c r="O17" s="90"/>
      <c r="P17" s="86">
        <v>115</v>
      </c>
      <c r="Q17" s="87"/>
      <c r="R17" s="88">
        <v>120</v>
      </c>
      <c r="S17" s="87"/>
      <c r="T17" s="88">
        <v>0</v>
      </c>
      <c r="U17" s="87"/>
      <c r="V17" s="90">
        <f t="shared" si="4"/>
        <v>161.8</v>
      </c>
      <c r="W17" s="91">
        <f>AJ17</f>
        <v>212</v>
      </c>
      <c r="X17" s="90">
        <f t="shared" si="2"/>
        <v>285.84000000000003</v>
      </c>
      <c r="Z17" s="73">
        <f>IF(D17="","",IF(D17&gt;1900,D17,IF(D17&lt;11,D17+2000,D17+1900)))</f>
        <v>1982</v>
      </c>
      <c r="AA17" s="73">
        <f>IF(Z17="","",YEAR(R1)-(Z17))</f>
        <v>30</v>
      </c>
      <c r="AB17" s="52">
        <f>IF(AA17=17,10,IF(AA17=16,10,IF(AA17=15,20,IF(AA17=14,20,0))))</f>
        <v>0</v>
      </c>
      <c r="AC17" s="52">
        <f>IF(AA17=17,20,IF(AA17=16,20,IF(AA17=15,30,IF(AA17=14,30,0))))</f>
        <v>0</v>
      </c>
      <c r="AE17" s="74">
        <f>ROUND(F17,1)</f>
        <v>68.2</v>
      </c>
      <c r="AF17" s="75">
        <f ca="1">IF(ISBLANK(F17),"",IF(F17&gt;0,IF(AE17&gt;mkgmin_1,IF(AE17&lt;mkgmax_1,ROUND(10^(mwert_1*LOG(OFFSET(AF17,0,-1)/mkgmax_1)^2),4),1),mscfmax_1)))</f>
        <v>1.3483</v>
      </c>
      <c r="AG17" s="76">
        <f>IF(C17="F",AF17+0.4,AF17)</f>
        <v>1.3483</v>
      </c>
      <c r="AH17" s="122">
        <f>IF(B17="","",IF(F17="","",IF(MAX(AL17:AN17)&lt;0,0,ROUND(MAX(AL17:AN17)*$AG17,2))))</f>
        <v>124.04</v>
      </c>
      <c r="AI17" s="123">
        <f>IF(B17="","",IF(F17="","",IF(MAX(AO17:AQ17)&lt;0,0,ROUND(MAX(AO17:AQ17)*$AG17,2))))</f>
        <v>161.8</v>
      </c>
      <c r="AJ17" s="79">
        <f>IF(B17="","",IF(F17="","",MAX(AL17:AN17)+MAX(AO17:AQ17)))</f>
        <v>212</v>
      </c>
      <c r="AK17" s="78">
        <f>IF(B17="","",IF(F17="","",AH17+AI17))</f>
        <v>285.84000000000003</v>
      </c>
      <c r="AL17" s="74">
        <f>IF(I17="x",0,H17)</f>
        <v>85</v>
      </c>
      <c r="AM17" s="74">
        <f>IF(K17="x",0,J17)</f>
        <v>90</v>
      </c>
      <c r="AN17" s="74">
        <f>IF(M17="x",0,L17)</f>
        <v>92</v>
      </c>
      <c r="AO17" s="74">
        <f>IF(Q17="x",0,P17)</f>
        <v>115</v>
      </c>
      <c r="AP17" s="74">
        <f>IF(S17="x",0,R17)</f>
        <v>120</v>
      </c>
      <c r="AQ17" s="74">
        <f>IF(U17="x",0,T17)</f>
        <v>0</v>
      </c>
      <c r="AR17" s="129" t="s">
        <v>76</v>
      </c>
      <c r="AS17" s="129" t="s">
        <v>77</v>
      </c>
    </row>
    <row r="18" spans="1:45" ht="15" customHeight="1">
      <c r="A18" s="80">
        <v>8</v>
      </c>
      <c r="B18" s="81" t="s">
        <v>78</v>
      </c>
      <c r="C18" s="82"/>
      <c r="D18" s="83">
        <v>1993</v>
      </c>
      <c r="E18" s="83">
        <v>4624</v>
      </c>
      <c r="F18" s="84">
        <v>69.7</v>
      </c>
      <c r="G18" s="85">
        <f>AG18</f>
        <v>1.3299</v>
      </c>
      <c r="H18" s="86">
        <v>75</v>
      </c>
      <c r="I18" s="87" t="s">
        <v>46</v>
      </c>
      <c r="J18" s="88">
        <v>75</v>
      </c>
      <c r="K18" s="87"/>
      <c r="L18" s="88">
        <v>80</v>
      </c>
      <c r="M18" s="89"/>
      <c r="N18" s="90">
        <f t="shared" si="3"/>
        <v>106.39</v>
      </c>
      <c r="O18" s="90"/>
      <c r="P18" s="86">
        <v>105</v>
      </c>
      <c r="Q18" s="87"/>
      <c r="R18" s="88">
        <v>110</v>
      </c>
      <c r="S18" s="87" t="s">
        <v>46</v>
      </c>
      <c r="T18" s="88">
        <v>110</v>
      </c>
      <c r="U18" s="87" t="s">
        <v>46</v>
      </c>
      <c r="V18" s="90">
        <f t="shared" si="4"/>
        <v>139.64</v>
      </c>
      <c r="W18" s="91">
        <f>AJ18</f>
        <v>185</v>
      </c>
      <c r="X18" s="90">
        <f t="shared" si="2"/>
        <v>246.02999999999997</v>
      </c>
      <c r="Z18" s="73">
        <f>IF(D18="","",IF(D18&gt;1900,D18,IF(D18&lt;11,D18+2000,D18+1900)))</f>
        <v>1993</v>
      </c>
      <c r="AA18" s="73">
        <f>IF(Z18="","",YEAR(R1)-(Z18))</f>
        <v>19</v>
      </c>
      <c r="AB18" s="52">
        <f>IF(AA18=17,10,IF(AA18=16,10,IF(AA18=15,20,IF(AA18=14,20,0))))</f>
        <v>0</v>
      </c>
      <c r="AC18" s="52">
        <f>IF(AA18=17,20,IF(AA18=16,20,IF(AA18=15,30,IF(AA18=14,30,0))))</f>
        <v>0</v>
      </c>
      <c r="AE18" s="74">
        <f>ROUND(F18,1)</f>
        <v>69.7</v>
      </c>
      <c r="AF18" s="75">
        <f ca="1">IF(ISBLANK(F18),"",IF(F18&gt;0,IF(AE18&gt;mkgmin_1,IF(AE18&lt;mkgmax_1,ROUND(10^(mwert_1*LOG(OFFSET(AF18,0,-1)/mkgmax_1)^2),4),1),mscfmax_1)))</f>
        <v>1.3299</v>
      </c>
      <c r="AG18" s="76">
        <f>IF(C18="F",AF18+0.4,AF18)</f>
        <v>1.3299</v>
      </c>
      <c r="AH18" s="122">
        <f>IF(B18="","",IF(F18="","",IF(MAX(AL18:AN18)&lt;0,0,ROUND(MAX(AL18:AN18)*$AG18,2))))</f>
        <v>106.39</v>
      </c>
      <c r="AI18" s="123">
        <f>IF(B18="","",IF(F18="","",IF(MAX(AO18:AQ18)&lt;0,0,ROUND(MAX(AO18:AQ18)*$AG18,2))))</f>
        <v>139.64</v>
      </c>
      <c r="AJ18" s="79">
        <f>IF(B18="","",IF(F18="","",MAX(AL18:AN18)+MAX(AO18:AQ18)))</f>
        <v>185</v>
      </c>
      <c r="AK18" s="78">
        <f>IF(B18="","",IF(F18="","",AH18+AI18))</f>
        <v>246.02999999999997</v>
      </c>
      <c r="AL18" s="74">
        <f>IF(I18="x",0,H18)</f>
        <v>0</v>
      </c>
      <c r="AM18" s="74">
        <f>IF(K18="x",0,J18)</f>
        <v>75</v>
      </c>
      <c r="AN18" s="74">
        <f>IF(M18="x",0,L18)</f>
        <v>80</v>
      </c>
      <c r="AO18" s="74">
        <f>IF(Q18="x",0,P18)</f>
        <v>105</v>
      </c>
      <c r="AP18" s="74">
        <f>IF(S18="x",0,R18)</f>
        <v>0</v>
      </c>
      <c r="AQ18" s="74">
        <f>IF(U18="x",0,T18)</f>
        <v>0</v>
      </c>
      <c r="AR18" s="129" t="s">
        <v>79</v>
      </c>
      <c r="AS18" s="129" t="s">
        <v>80</v>
      </c>
    </row>
    <row r="19" spans="1:45" ht="15" customHeight="1">
      <c r="A19" s="80">
        <v>9</v>
      </c>
      <c r="B19" s="81" t="s">
        <v>81</v>
      </c>
      <c r="C19" s="82"/>
      <c r="D19" s="83">
        <v>1991</v>
      </c>
      <c r="E19" s="83">
        <v>4635</v>
      </c>
      <c r="F19" s="84">
        <v>88</v>
      </c>
      <c r="G19" s="85">
        <f>AG19</f>
        <v>1.1715</v>
      </c>
      <c r="H19" s="86">
        <v>80</v>
      </c>
      <c r="I19" s="87"/>
      <c r="J19" s="88">
        <v>87</v>
      </c>
      <c r="K19" s="87" t="s">
        <v>46</v>
      </c>
      <c r="L19" s="88">
        <v>87</v>
      </c>
      <c r="M19" s="89"/>
      <c r="N19" s="90">
        <f t="shared" si="3"/>
        <v>101.92</v>
      </c>
      <c r="O19" s="90"/>
      <c r="P19" s="86">
        <v>113</v>
      </c>
      <c r="Q19" s="87"/>
      <c r="R19" s="88">
        <v>118</v>
      </c>
      <c r="S19" s="87"/>
      <c r="T19" s="88">
        <v>122</v>
      </c>
      <c r="U19" s="87" t="s">
        <v>46</v>
      </c>
      <c r="V19" s="90">
        <f t="shared" si="4"/>
        <v>138.24</v>
      </c>
      <c r="W19" s="91">
        <f>AJ19</f>
        <v>205</v>
      </c>
      <c r="X19" s="90">
        <f t="shared" si="2"/>
        <v>240.16000000000003</v>
      </c>
      <c r="Z19" s="73">
        <f>IF(D19="","",IF(D19&gt;1900,D19,IF(D19&lt;11,D19+2000,D19+1900)))</f>
        <v>1991</v>
      </c>
      <c r="AA19" s="73">
        <f>IF(Z19="","",YEAR(R1)-(Z19))</f>
        <v>21</v>
      </c>
      <c r="AB19" s="52">
        <f>IF(AA19=17,10,IF(AA19=16,10,IF(AA19=15,20,IF(AA19=14,20,0))))</f>
        <v>0</v>
      </c>
      <c r="AC19" s="52">
        <f>IF(AA19=17,20,IF(AA19=16,20,IF(AA19=15,30,IF(AA19=14,30,0))))</f>
        <v>0</v>
      </c>
      <c r="AE19" s="74">
        <f>ROUND(F19,1)</f>
        <v>88</v>
      </c>
      <c r="AF19" s="75">
        <f ca="1">IF(ISBLANK(F19),"",IF(F19&gt;0,IF(AE19&gt;mkgmin_1,IF(AE19&lt;mkgmax_1,ROUND(10^(mwert_1*LOG(OFFSET(AF19,0,-1)/mkgmax_1)^2),4),1),mscfmax_1)))</f>
        <v>1.1715</v>
      </c>
      <c r="AG19" s="76">
        <f>IF(C19="F",AF19+0.4,AF19)</f>
        <v>1.1715</v>
      </c>
      <c r="AH19" s="122">
        <f>IF(B19="","",IF(F19="","",IF(MAX(AL19:AN19)&lt;0,0,ROUND(MAX(AL19:AN19)*$AG19,2))))</f>
        <v>101.92</v>
      </c>
      <c r="AI19" s="123">
        <f>IF(B19="","",IF(F19="","",IF(MAX(AO19:AQ19)&lt;0,0,ROUND(MAX(AO19:AQ19)*$AG19,2))))</f>
        <v>138.24</v>
      </c>
      <c r="AJ19" s="79">
        <f>IF(B19="","",IF(F19="","",MAX(AL19:AN19)+MAX(AO19:AQ19)))</f>
        <v>205</v>
      </c>
      <c r="AK19" s="78">
        <f>IF(B19="","",IF(F19="","",AH19+AI19))</f>
        <v>240.16000000000003</v>
      </c>
      <c r="AL19" s="74">
        <f>IF(I19="x",0,H19)</f>
        <v>80</v>
      </c>
      <c r="AM19" s="74">
        <f>IF(K19="x",0,J19)</f>
        <v>0</v>
      </c>
      <c r="AN19" s="74">
        <f>IF(M19="x",0,L19)</f>
        <v>87</v>
      </c>
      <c r="AO19" s="74">
        <f>IF(Q19="x",0,P19)</f>
        <v>113</v>
      </c>
      <c r="AP19" s="74">
        <f>IF(S19="x",0,R19)</f>
        <v>118</v>
      </c>
      <c r="AQ19" s="74">
        <f>IF(U19="x",0,T19)</f>
        <v>0</v>
      </c>
      <c r="AR19" s="129" t="s">
        <v>82</v>
      </c>
      <c r="AS19" s="129" t="s">
        <v>83</v>
      </c>
    </row>
    <row r="20" spans="1:45" ht="15" customHeight="1">
      <c r="A20" s="92">
        <v>10</v>
      </c>
      <c r="B20" s="93" t="s">
        <v>84</v>
      </c>
      <c r="C20" s="94"/>
      <c r="D20" s="95">
        <v>1983</v>
      </c>
      <c r="E20" s="95">
        <v>4027</v>
      </c>
      <c r="F20" s="96">
        <v>100.3</v>
      </c>
      <c r="G20" s="97">
        <f>AG20</f>
        <v>1.1089</v>
      </c>
      <c r="H20" s="98">
        <v>112</v>
      </c>
      <c r="I20" s="99"/>
      <c r="J20" s="100">
        <v>117</v>
      </c>
      <c r="K20" s="99"/>
      <c r="L20" s="100">
        <v>120</v>
      </c>
      <c r="M20" s="101"/>
      <c r="N20" s="102">
        <f t="shared" si="3"/>
        <v>133.07</v>
      </c>
      <c r="O20" s="102"/>
      <c r="P20" s="98">
        <v>130</v>
      </c>
      <c r="Q20" s="99"/>
      <c r="R20" s="100">
        <v>140</v>
      </c>
      <c r="S20" s="99"/>
      <c r="T20" s="100">
        <v>0</v>
      </c>
      <c r="U20" s="99"/>
      <c r="V20" s="102">
        <f t="shared" si="4"/>
        <v>155.25</v>
      </c>
      <c r="W20" s="103">
        <f>AJ20</f>
        <v>260</v>
      </c>
      <c r="X20" s="102">
        <f t="shared" si="2"/>
        <v>288.32</v>
      </c>
      <c r="Z20" s="73">
        <f>IF(D20="","",IF(D20&gt;1900,D20,IF(D20&lt;11,D20+2000,D20+1900)))</f>
        <v>1983</v>
      </c>
      <c r="AA20" s="73">
        <f>IF(Z20="","",YEAR(R1)-(Z20))</f>
        <v>29</v>
      </c>
      <c r="AB20" s="52">
        <f>IF(AA20=17,10,IF(AA20=16,10,IF(AA20=15,20,IF(AA20=14,20,0))))</f>
        <v>0</v>
      </c>
      <c r="AC20" s="52">
        <f>IF(AA20=17,20,IF(AA20=16,20,IF(AA20=15,30,IF(AA20=14,30,0))))</f>
        <v>0</v>
      </c>
      <c r="AE20" s="74">
        <f>ROUND(F20,1)</f>
        <v>100.3</v>
      </c>
      <c r="AF20" s="75">
        <f ca="1">IF(ISBLANK(F20),"",IF(F20&gt;0,IF(AE20&gt;mkgmin_1,IF(AE20&lt;mkgmax_1,ROUND(10^(mwert_1*LOG(OFFSET(AF20,0,-1)/mkgmax_1)^2),4),1),mscfmax_1)))</f>
        <v>1.1089</v>
      </c>
      <c r="AG20" s="76">
        <f>IF(C20="F",AF20+0.4,AF20)</f>
        <v>1.1089</v>
      </c>
      <c r="AH20" s="122">
        <f>IF(B20="","",IF(F20="","",IF(MAX(AL20:AN20)&lt;0,0,ROUND(MAX(AL20:AN20)*$AG20,2))))</f>
        <v>133.07</v>
      </c>
      <c r="AI20" s="123">
        <f>IF(B20="","",IF(F20="","",IF(MAX(AO20:AQ20)&lt;0,0,ROUND(MAX(AO20:AQ20)*$AG20,2))))</f>
        <v>155.25</v>
      </c>
      <c r="AJ20" s="79">
        <f>IF(B20="","",IF(F20="","",MAX(AL20:AN20)+MAX(AO20:AQ20)))</f>
        <v>260</v>
      </c>
      <c r="AK20" s="78">
        <f>IF(B20="","",IF(F20="","",AH20+AI20))</f>
        <v>288.32</v>
      </c>
      <c r="AL20" s="74">
        <f>IF(I20="x",0,H20)</f>
        <v>112</v>
      </c>
      <c r="AM20" s="74">
        <f>IF(K20="x",0,J20)</f>
        <v>117</v>
      </c>
      <c r="AN20" s="74">
        <f>IF(M20="x",0,L20)</f>
        <v>120</v>
      </c>
      <c r="AO20" s="74">
        <f>IF(Q20="x",0,P20)</f>
        <v>130</v>
      </c>
      <c r="AP20" s="74">
        <f>IF(S20="x",0,R20)</f>
        <v>140</v>
      </c>
      <c r="AQ20" s="74">
        <f>IF(U20="x",0,T20)</f>
        <v>0</v>
      </c>
      <c r="AR20" s="129" t="s">
        <v>85</v>
      </c>
      <c r="AS20" s="129" t="s">
        <v>86</v>
      </c>
    </row>
    <row r="21" spans="1:39" s="1" customFormat="1" ht="15" customHeight="1">
      <c r="A21" s="143"/>
      <c r="B21" s="105" t="s">
        <v>87</v>
      </c>
      <c r="C21" s="106"/>
      <c r="D21" s="106"/>
      <c r="E21" s="106"/>
      <c r="F21" s="106"/>
      <c r="G21" s="107"/>
      <c r="H21" s="108" t="s">
        <v>52</v>
      </c>
      <c r="I21" s="108"/>
      <c r="J21" s="108"/>
      <c r="K21" s="108"/>
      <c r="L21" s="108"/>
      <c r="M21" s="108"/>
      <c r="N21" s="109">
        <f t="shared" si="3"/>
        <v>576.09</v>
      </c>
      <c r="O21" s="109"/>
      <c r="P21" s="110" t="s">
        <v>53</v>
      </c>
      <c r="Q21" s="110"/>
      <c r="R21" s="110"/>
      <c r="S21" s="110"/>
      <c r="T21" s="110"/>
      <c r="U21" s="110"/>
      <c r="V21" s="109">
        <f t="shared" si="4"/>
        <v>745.85</v>
      </c>
      <c r="W21" s="111" t="s">
        <v>54</v>
      </c>
      <c r="X21" s="109">
        <f t="shared" si="2"/>
        <v>1321.9399999999998</v>
      </c>
      <c r="Z21" s="52"/>
      <c r="AA21" s="52"/>
      <c r="AB21" s="52"/>
      <c r="AC21" s="52"/>
      <c r="AD21" s="2"/>
      <c r="AE21" s="112">
        <f>LARGE(AB16:AB20,1)</f>
        <v>0</v>
      </c>
      <c r="AF21" s="112">
        <f>LARGE(AC16:AC20,1)</f>
        <v>0</v>
      </c>
      <c r="AG21" s="52" t="s">
        <v>55</v>
      </c>
      <c r="AH21" s="77">
        <f>SUM(AH16:AH20)</f>
        <v>576.09</v>
      </c>
      <c r="AI21" s="78">
        <f>SUM(AI16:AI20)</f>
        <v>745.85</v>
      </c>
      <c r="AJ21" s="113" t="s">
        <v>54</v>
      </c>
      <c r="AK21" s="78">
        <f>SUM(AK16:AK20)</f>
        <v>1321.9399999999998</v>
      </c>
      <c r="AM21" s="3"/>
    </row>
    <row r="22" spans="1:37" s="1" customFormat="1" ht="15" customHeight="1">
      <c r="A22" s="143"/>
      <c r="B22" s="118" t="s">
        <v>88</v>
      </c>
      <c r="C22" s="118"/>
      <c r="D22" s="118"/>
      <c r="E22" s="118"/>
      <c r="F22" s="118"/>
      <c r="G22" s="118"/>
      <c r="H22" s="119" t="s">
        <v>29</v>
      </c>
      <c r="I22" s="119"/>
      <c r="J22" s="119"/>
      <c r="K22" s="119"/>
      <c r="L22" s="119"/>
      <c r="M22" s="119"/>
      <c r="N22" s="90">
        <f>AB22</f>
        <v>0</v>
      </c>
      <c r="O22" s="90"/>
      <c r="P22" s="120" t="s">
        <v>29</v>
      </c>
      <c r="Q22" s="120"/>
      <c r="R22" s="120"/>
      <c r="S22" s="120"/>
      <c r="T22" s="120"/>
      <c r="U22" s="120"/>
      <c r="V22" s="90">
        <f>AC22</f>
        <v>0</v>
      </c>
      <c r="W22" s="121" t="s">
        <v>59</v>
      </c>
      <c r="X22" s="90">
        <f t="shared" si="2"/>
        <v>0</v>
      </c>
      <c r="Z22" s="52"/>
      <c r="AA22" s="52" t="s">
        <v>60</v>
      </c>
      <c r="AB22" s="52">
        <f>MAX(AB16:AB20)</f>
        <v>0</v>
      </c>
      <c r="AC22" s="52">
        <f>MAX(AC16:AC20)</f>
        <v>0</v>
      </c>
      <c r="AD22" s="2"/>
      <c r="AE22" s="112">
        <f>LARGE(AB16:AB20,2)</f>
        <v>0</v>
      </c>
      <c r="AF22" s="112">
        <f>LARGE(AC16:AC20,2)</f>
        <v>0</v>
      </c>
      <c r="AG22" s="52" t="s">
        <v>61</v>
      </c>
      <c r="AH22" s="122">
        <f>N22</f>
        <v>0</v>
      </c>
      <c r="AI22" s="123">
        <f>V22</f>
        <v>0</v>
      </c>
      <c r="AJ22" s="124" t="s">
        <v>59</v>
      </c>
      <c r="AK22" s="123">
        <f>SUM(AH22+AI22)</f>
        <v>0</v>
      </c>
    </row>
    <row r="23" spans="1:43" ht="15" customHeight="1">
      <c r="A23" s="143"/>
      <c r="B23" s="118"/>
      <c r="C23" s="118"/>
      <c r="D23" s="118"/>
      <c r="E23" s="118"/>
      <c r="F23" s="118"/>
      <c r="G23" s="118"/>
      <c r="H23" s="119" t="s">
        <v>64</v>
      </c>
      <c r="I23" s="119"/>
      <c r="J23" s="119"/>
      <c r="K23" s="119"/>
      <c r="L23" s="119"/>
      <c r="M23" s="119"/>
      <c r="N23" s="144">
        <f>AH23</f>
        <v>576.09</v>
      </c>
      <c r="O23" s="144"/>
      <c r="P23" s="120" t="s">
        <v>64</v>
      </c>
      <c r="Q23" s="120"/>
      <c r="R23" s="120"/>
      <c r="S23" s="120"/>
      <c r="T23" s="120"/>
      <c r="U23" s="120"/>
      <c r="V23" s="144">
        <f>AI23</f>
        <v>745.85</v>
      </c>
      <c r="W23" s="121" t="s">
        <v>64</v>
      </c>
      <c r="X23" s="144">
        <f t="shared" si="2"/>
        <v>1321.9399999999998</v>
      </c>
      <c r="AE23" s="112">
        <f>LARGE(AB16:AB20,3)</f>
        <v>0</v>
      </c>
      <c r="AF23" s="112">
        <f>LARGE(AC16:AC20,3)</f>
        <v>0</v>
      </c>
      <c r="AG23" s="52" t="s">
        <v>65</v>
      </c>
      <c r="AH23" s="122">
        <f>AH21+AH22</f>
        <v>576.09</v>
      </c>
      <c r="AI23" s="123">
        <f>AI21+AI22</f>
        <v>745.85</v>
      </c>
      <c r="AJ23" s="124" t="s">
        <v>64</v>
      </c>
      <c r="AK23" s="123">
        <f>AK21+AK22</f>
        <v>1321.9399999999998</v>
      </c>
      <c r="AL23" s="1"/>
      <c r="AO23" s="1"/>
      <c r="AP23" s="1"/>
      <c r="AQ23" s="1"/>
    </row>
    <row r="24" spans="1:37" s="1" customFormat="1" ht="15" customHeight="1">
      <c r="A24" s="145"/>
      <c r="B24" s="131"/>
      <c r="C24" s="131"/>
      <c r="D24" s="131"/>
      <c r="E24" s="131"/>
      <c r="F24" s="131"/>
      <c r="G24" s="131"/>
      <c r="H24" s="132" t="s">
        <v>68</v>
      </c>
      <c r="I24" s="132"/>
      <c r="J24" s="132"/>
      <c r="K24" s="132"/>
      <c r="L24" s="132"/>
      <c r="M24" s="132"/>
      <c r="N24" s="102">
        <f>AH24</f>
        <v>10.300000000000068</v>
      </c>
      <c r="O24" s="102"/>
      <c r="P24" s="133" t="s">
        <v>68</v>
      </c>
      <c r="Q24" s="133"/>
      <c r="R24" s="133"/>
      <c r="S24" s="133"/>
      <c r="T24" s="133"/>
      <c r="U24" s="133"/>
      <c r="V24" s="102">
        <f>AI24</f>
        <v>45.72000000000014</v>
      </c>
      <c r="W24" s="134" t="s">
        <v>69</v>
      </c>
      <c r="X24" s="102">
        <f t="shared" si="2"/>
        <v>56.01999999999998</v>
      </c>
      <c r="Z24" s="2"/>
      <c r="AA24" s="2"/>
      <c r="AB24" s="2"/>
      <c r="AC24" s="2"/>
      <c r="AD24" s="2"/>
      <c r="AE24" s="135"/>
      <c r="AF24" s="135"/>
      <c r="AG24" s="135"/>
      <c r="AH24" s="146">
        <f>AH23-AH14</f>
        <v>10.300000000000068</v>
      </c>
      <c r="AI24" s="147">
        <f>AI23-AI14</f>
        <v>45.72000000000014</v>
      </c>
      <c r="AJ24" s="148" t="s">
        <v>69</v>
      </c>
      <c r="AK24" s="147">
        <f>AK23-AK14</f>
        <v>56.01999999999998</v>
      </c>
    </row>
    <row r="25" spans="1:43" ht="15" customHeight="1">
      <c r="A25" s="149" t="s">
        <v>89</v>
      </c>
      <c r="B25" s="149"/>
      <c r="C25" s="150"/>
      <c r="D25" s="151" t="s">
        <v>90</v>
      </c>
      <c r="E25" s="151"/>
      <c r="F25" s="151"/>
      <c r="G25" s="151"/>
      <c r="H25" s="149" t="s">
        <v>90</v>
      </c>
      <c r="I25" s="149"/>
      <c r="J25" s="149"/>
      <c r="K25" s="149"/>
      <c r="L25" s="149"/>
      <c r="M25" s="149"/>
      <c r="N25" s="149" t="s">
        <v>91</v>
      </c>
      <c r="O25" s="149"/>
      <c r="P25" s="149"/>
      <c r="Q25" s="149"/>
      <c r="R25" s="149"/>
      <c r="S25" s="149"/>
      <c r="T25" s="152" t="s">
        <v>92</v>
      </c>
      <c r="U25" s="152"/>
      <c r="V25" s="153" t="str">
        <f>AN26</f>
        <v>MÖDLING</v>
      </c>
      <c r="W25" s="153"/>
      <c r="X25" s="153"/>
      <c r="AL25" s="1"/>
      <c r="AN25" s="8" t="s">
        <v>93</v>
      </c>
      <c r="AO25" s="154" t="str">
        <f ca="1">IF(ROUNDUP(((AK24*AK24)^0.5)/50,0)&gt;6,OFFSET(AR14,6,AT12,1,1),OFFSET(AR14,ROUNDUP(((AK24*AK24)^0.5)/50,0),AT12,1,1))</f>
        <v> 2 : 0</v>
      </c>
      <c r="AP25" s="1"/>
      <c r="AQ25" s="1"/>
    </row>
    <row r="26" spans="1:43" ht="1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6" t="s">
        <v>94</v>
      </c>
      <c r="U26" s="156"/>
      <c r="V26" s="153"/>
      <c r="W26" s="153"/>
      <c r="X26" s="153"/>
      <c r="AL26" s="1"/>
      <c r="AM26" s="1"/>
      <c r="AN26" s="1" t="str">
        <f>IF(B13=0,"",IF(B22=0,"",IF(X15&gt;0,B13,IF(X24&gt;0,B22,""))))</f>
        <v>MÖDLING</v>
      </c>
      <c r="AO26" s="1"/>
      <c r="AP26" s="1"/>
      <c r="AQ26" s="1"/>
    </row>
    <row r="27" spans="1:37" s="1" customFormat="1" ht="15" customHeight="1">
      <c r="A27" s="155" t="s">
        <v>95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 t="s">
        <v>95</v>
      </c>
      <c r="O27" s="155"/>
      <c r="P27" s="155"/>
      <c r="Q27" s="155"/>
      <c r="R27" s="155"/>
      <c r="S27" s="155"/>
      <c r="T27" s="6" t="s">
        <v>96</v>
      </c>
      <c r="U27" s="6"/>
      <c r="V27" s="157" t="str">
        <f>AO25</f>
        <v> 2 : 0</v>
      </c>
      <c r="W27" s="158" t="s">
        <v>97</v>
      </c>
      <c r="X27" s="159"/>
      <c r="Z27" s="2"/>
      <c r="AA27" s="2"/>
      <c r="AB27" s="2"/>
      <c r="AC27" s="2"/>
      <c r="AD27" s="2"/>
      <c r="AK27" s="160"/>
    </row>
    <row r="28" spans="1:30" s="1" customFormat="1" ht="6" customHeight="1">
      <c r="A28" s="161"/>
      <c r="B28" s="162"/>
      <c r="C28" s="163"/>
      <c r="D28" s="131"/>
      <c r="E28" s="131"/>
      <c r="F28" s="131"/>
      <c r="G28" s="131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5"/>
      <c r="U28" s="165"/>
      <c r="V28" s="165"/>
      <c r="W28" s="165"/>
      <c r="X28" s="165"/>
      <c r="Z28" s="2"/>
      <c r="AA28" s="2"/>
      <c r="AB28" s="2"/>
      <c r="AC28" s="2"/>
      <c r="AD28" s="2"/>
    </row>
    <row r="29" spans="1:30" s="1" customFormat="1" ht="6" customHeight="1">
      <c r="A29" s="158"/>
      <c r="B29" s="158"/>
      <c r="C29" s="158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Z29" s="2"/>
      <c r="AA29" s="2"/>
      <c r="AB29" s="2"/>
      <c r="AC29" s="2"/>
      <c r="AD29" s="2"/>
    </row>
    <row r="30" spans="26:30" s="1" customFormat="1" ht="10.5">
      <c r="Z30" s="2"/>
      <c r="AA30" s="2"/>
      <c r="AB30" s="2"/>
      <c r="AC30" s="2"/>
      <c r="AD30" s="2"/>
    </row>
    <row r="31" ht="12.75">
      <c r="AL31" s="1"/>
    </row>
    <row r="32" ht="12.75">
      <c r="AL32" s="1"/>
    </row>
    <row r="33" ht="12.75">
      <c r="AL33" s="1"/>
    </row>
    <row r="34" ht="12.75">
      <c r="AL34" s="1"/>
    </row>
    <row r="35" spans="36:42" ht="12.75">
      <c r="AJ35" s="2"/>
      <c r="AK35" s="2"/>
      <c r="AL35" s="2"/>
      <c r="AM35" s="1"/>
      <c r="AN35" s="1"/>
      <c r="AO35" s="1"/>
      <c r="AP35" s="1"/>
    </row>
    <row r="36" spans="38:42" ht="12.75">
      <c r="AL36" s="1"/>
      <c r="AM36" s="1"/>
      <c r="AN36" s="1"/>
      <c r="AO36" s="1"/>
      <c r="AP36" s="1"/>
    </row>
    <row r="37" spans="38:42" ht="12.75">
      <c r="AL37" s="1"/>
      <c r="AM37" s="1"/>
      <c r="AN37" s="1"/>
      <c r="AO37" s="1"/>
      <c r="AP37" s="1"/>
    </row>
    <row r="38" spans="38:42" ht="12.75">
      <c r="AL38" s="1"/>
      <c r="AM38" s="1"/>
      <c r="AN38" s="1"/>
      <c r="AO38" s="1"/>
      <c r="AP38" s="1"/>
    </row>
    <row r="39" spans="38:42" ht="12.75">
      <c r="AL39" s="1"/>
      <c r="AM39" s="1"/>
      <c r="AN39" s="1"/>
      <c r="AO39" s="1"/>
      <c r="AP39" s="1"/>
    </row>
    <row r="40" ht="12.75">
      <c r="AP40" s="1"/>
    </row>
    <row r="41" ht="12.75">
      <c r="AP41" s="1"/>
    </row>
    <row r="42" ht="12.75">
      <c r="AP42" s="1"/>
    </row>
    <row r="43" ht="12.75">
      <c r="AP43" s="1"/>
    </row>
    <row r="44" ht="12.75">
      <c r="AP44" s="1"/>
    </row>
    <row r="45" ht="12.75">
      <c r="AP45" s="1"/>
    </row>
    <row r="46" ht="12.75">
      <c r="AP46" s="1"/>
    </row>
    <row r="47" ht="12.75">
      <c r="AP47" s="1"/>
    </row>
    <row r="48" ht="12.75">
      <c r="AP48" s="1"/>
    </row>
    <row r="49" ht="12.75">
      <c r="AP49" s="1"/>
    </row>
    <row r="50" ht="12.75">
      <c r="AP50" s="1"/>
    </row>
    <row r="51" ht="12.75">
      <c r="AP51" s="1"/>
    </row>
    <row r="52" ht="12.75">
      <c r="AP52" s="1"/>
    </row>
  </sheetData>
  <mergeCells count="87">
    <mergeCell ref="B1:B3"/>
    <mergeCell ref="D1:E1"/>
    <mergeCell ref="F1:O1"/>
    <mergeCell ref="R1:V1"/>
    <mergeCell ref="AE1:AH1"/>
    <mergeCell ref="F2:N2"/>
    <mergeCell ref="R2:V2"/>
    <mergeCell ref="W2:X3"/>
    <mergeCell ref="C3:E3"/>
    <mergeCell ref="F3:N3"/>
    <mergeCell ref="R3:V3"/>
    <mergeCell ref="AE3:AH3"/>
    <mergeCell ref="A5:A6"/>
    <mergeCell ref="B5:B6"/>
    <mergeCell ref="C5:C6"/>
    <mergeCell ref="H5:O5"/>
    <mergeCell ref="P5:V5"/>
    <mergeCell ref="Z5:AC5"/>
    <mergeCell ref="AL5:AN5"/>
    <mergeCell ref="AO5:AQ5"/>
    <mergeCell ref="H6:I6"/>
    <mergeCell ref="J6:K6"/>
    <mergeCell ref="L6:M6"/>
    <mergeCell ref="N6:O6"/>
    <mergeCell ref="P6:Q6"/>
    <mergeCell ref="R6:S6"/>
    <mergeCell ref="T6:U6"/>
    <mergeCell ref="N7:O7"/>
    <mergeCell ref="N8:O8"/>
    <mergeCell ref="N9:O9"/>
    <mergeCell ref="N10:O10"/>
    <mergeCell ref="N11:O11"/>
    <mergeCell ref="C12:F12"/>
    <mergeCell ref="H12:M12"/>
    <mergeCell ref="N12:O12"/>
    <mergeCell ref="P12:U12"/>
    <mergeCell ref="B13:G14"/>
    <mergeCell ref="H13:M13"/>
    <mergeCell ref="N13:O13"/>
    <mergeCell ref="P13:U13"/>
    <mergeCell ref="H14:M14"/>
    <mergeCell ref="N14:O14"/>
    <mergeCell ref="P14:U14"/>
    <mergeCell ref="B15:G15"/>
    <mergeCell ref="H15:M15"/>
    <mergeCell ref="N15:O15"/>
    <mergeCell ref="P15:U15"/>
    <mergeCell ref="N16:O16"/>
    <mergeCell ref="N17:O17"/>
    <mergeCell ref="N18:O18"/>
    <mergeCell ref="N19:O19"/>
    <mergeCell ref="N20:O20"/>
    <mergeCell ref="C21:F21"/>
    <mergeCell ref="H21:M21"/>
    <mergeCell ref="N21:O21"/>
    <mergeCell ref="P21:U21"/>
    <mergeCell ref="B22:G23"/>
    <mergeCell ref="H22:M22"/>
    <mergeCell ref="N22:O22"/>
    <mergeCell ref="P22:U22"/>
    <mergeCell ref="H23:M23"/>
    <mergeCell ref="N23:O23"/>
    <mergeCell ref="P23:U23"/>
    <mergeCell ref="B24:G24"/>
    <mergeCell ref="H24:M24"/>
    <mergeCell ref="N24:O24"/>
    <mergeCell ref="P24:U24"/>
    <mergeCell ref="A25:B25"/>
    <mergeCell ref="D25:G25"/>
    <mergeCell ref="H25:M25"/>
    <mergeCell ref="N25:S25"/>
    <mergeCell ref="T25:U25"/>
    <mergeCell ref="V25:X26"/>
    <mergeCell ref="A26:B26"/>
    <mergeCell ref="C26:G26"/>
    <mergeCell ref="H26:M26"/>
    <mergeCell ref="N26:S26"/>
    <mergeCell ref="T26:U26"/>
    <mergeCell ref="A27:B27"/>
    <mergeCell ref="C27:G27"/>
    <mergeCell ref="H27:M27"/>
    <mergeCell ref="N27:S27"/>
    <mergeCell ref="T27:U27"/>
    <mergeCell ref="D28:G28"/>
    <mergeCell ref="H28:M28"/>
    <mergeCell ref="N28:S28"/>
    <mergeCell ref="T28:X28"/>
  </mergeCells>
  <conditionalFormatting sqref="N15:O15 N24:O24 V15 V24 X15 X24">
    <cfRule type="cellIs" priority="1" dxfId="0" operator="lessThan" stopIfTrue="1">
      <formula>0</formula>
    </cfRule>
  </conditionalFormatting>
  <printOptions horizontalCentered="1" verticalCentered="1"/>
  <pageMargins left="0.19652777777777777" right="0.19652777777777777" top="0.4722222222222222" bottom="0.4722222222222222" header="0.5118055555555555" footer="0.27569444444444446"/>
  <pageSetup horizontalDpi="300" verticalDpi="300" orientation="landscape" paperSize="9" scale="115"/>
  <headerFooter alignWithMargins="0">
    <oddFooter>&amp;L&amp;"Frutiger Light,Standard"&amp;8oegv@aon.at&amp;C&amp;"Frutiger Light,Standard"&amp;8gültig von 01.01.2009 bis 31.12.2012&amp;R&amp;"Frutiger Light,Standard"&amp;8www.gewichtheben.net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2012-06-14T19:45:57Z</dcterms:created>
  <dcterms:modified xsi:type="dcterms:W3CDTF">2005-12-02T09:14:33Z</dcterms:modified>
  <cp:category/>
  <cp:version/>
  <cp:contentType/>
  <cp:contentStatus/>
  <cp:revision>11</cp:revision>
</cp:coreProperties>
</file>