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MM'!$A$3:$Z$41</definedName>
    <definedName name="_xlnm.Print_Area" localSheetId="0">'Vorlage MM'!$A$1:$AD$43</definedName>
    <definedName name="fkgmax">#REF!</definedName>
    <definedName name="fkgmin">#REF!</definedName>
    <definedName name="fscfmax">#REF!</definedName>
    <definedName name="fwert">#REF!</definedName>
    <definedName name="mkgmax" localSheetId="0">'Vorlage MM'!$AU$2</definedName>
    <definedName name="mkgmin" localSheetId="0">'Vorlage MM'!$AU$3</definedName>
    <definedName name="mscfmax" localSheetId="0">'Vorlage MM'!$AQ$1</definedName>
    <definedName name="mwert" localSheetId="0">'Vorlage MM'!$AU$1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B13" authorId="0">
      <text>
        <r>
          <rPr>
            <b/>
            <sz val="10"/>
            <rFont val="Tahoma"/>
            <family val="0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10"/>
            <rFont val="Tahoma"/>
            <family val="0"/>
          </rPr>
          <t>Name der 1. Gastmannschaft</t>
        </r>
        <r>
          <rPr>
            <sz val="10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10"/>
            <rFont val="Tahoma"/>
            <family val="0"/>
          </rPr>
          <t>Name der 2. Gastmannschaft</t>
        </r>
        <r>
          <rPr>
            <sz val="10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10"/>
            <rFont val="Tahoma"/>
            <family val="0"/>
          </rPr>
          <t>Name der 3. Gastmannschaft</t>
        </r>
      </text>
    </comment>
    <comment ref="C40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</commentList>
</comments>
</file>

<file path=xl/sharedStrings.xml><?xml version="1.0" encoding="utf-8"?>
<sst xmlns="http://schemas.openxmlformats.org/spreadsheetml/2006/main" count="353" uniqueCount="152">
  <si>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</si>
  <si>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</si>
  <si>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</si>
  <si>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</si>
  <si>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</si>
  <si>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</si>
  <si>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</si>
  <si>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</si>
  <si>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</si>
  <si>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</si>
  <si>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</si>
  <si>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</si>
  <si>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</si>
  <si>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</si>
  <si>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</si>
  <si>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</si>
  <si>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</si>
  <si>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</si>
  <si>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</si>
  <si>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</si>
  <si>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</si>
  <si>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</si>
  <si>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</si>
  <si>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</si>
  <si>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</si>
  <si>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</si>
  <si>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</si>
  <si>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</si>
  <si>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</si>
  <si>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</si>
  <si>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</si>
  <si>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</si>
  <si>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</si>
  <si>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</si>
  <si>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</si>
  <si>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</si>
  <si>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>Listenführer:</t>
  </si>
  <si>
    <t xml:space="preserve"> 2 : 0</t>
  </si>
  <si>
    <t xml:space="preserve"> 3 : 1</t>
  </si>
  <si>
    <t xml:space="preserve"> 3 : 0</t>
  </si>
  <si>
    <t xml:space="preserve"> 4 : 1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</si>
  <si>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</si>
  <si>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</si>
  <si>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</si>
  <si>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</si>
  <si>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</si>
  <si>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</si>
  <si>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</si>
  <si>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</si>
  <si>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</si>
  <si>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</si>
  <si>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</si>
  <si>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</si>
  <si>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</si>
  <si>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</si>
  <si>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</si>
  <si>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</si>
  <si>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</si>
  <si>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</si>
  <si>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</si>
  <si>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</si>
  <si>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</si>
  <si>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</si>
  <si>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</si>
  <si>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</si>
  <si>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</si>
  <si>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</si>
  <si>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</si>
  <si>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</si>
  <si>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</si>
  <si>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</si>
  <si>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</si>
  <si>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</si>
  <si>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</si>
  <si>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</si>
  <si>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</si>
  <si>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</si>
  <si>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</si>
  <si>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</si>
  <si>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</si>
  <si>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</si>
  <si>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</si>
  <si>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</si>
  <si>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</si>
  <si>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</si>
  <si>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</si>
  <si>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</si>
  <si>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</si>
  <si>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</si>
  <si>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</si>
  <si>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</si>
  <si>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</si>
  <si>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</si>
  <si>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</si>
  <si>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</si>
  <si>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</si>
  <si>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</si>
  <si>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Wettkampf:</t>
  </si>
  <si>
    <t>Datum:</t>
  </si>
  <si>
    <t xml:space="preserve">        ÖGV</t>
  </si>
  <si>
    <t>Konkurrenz:</t>
  </si>
  <si>
    <t>mscfmax</t>
  </si>
  <si>
    <t>mwert</t>
  </si>
  <si>
    <t>mkgmax</t>
  </si>
  <si>
    <t>mkgmin</t>
  </si>
  <si>
    <t>fkgmax</t>
  </si>
  <si>
    <t>fkgmin</t>
  </si>
  <si>
    <t>fwert</t>
  </si>
  <si>
    <t>fscfmax</t>
  </si>
  <si>
    <t>Seitenrichter</t>
  </si>
  <si>
    <t>Hauptkampfrichter</t>
  </si>
  <si>
    <t>Geb.</t>
  </si>
  <si>
    <t>Seitenrichter 1:</t>
  </si>
  <si>
    <t>Seitenrichter 2:</t>
  </si>
  <si>
    <t>Listenführer</t>
  </si>
  <si>
    <t>Ergebnis:</t>
  </si>
  <si>
    <t>Hinweise:</t>
  </si>
  <si>
    <t>Die Athletendatendatei muss als</t>
  </si>
  <si>
    <t>C:\Gewicht\Tab\Athldb.xls</t>
  </si>
  <si>
    <t>auf der Festplatte gespeichert sein.</t>
  </si>
  <si>
    <t>Diese Tabelle ist ohne Kennwort geschützt</t>
  </si>
  <si>
    <t>Gastmannschaft 3:</t>
  </si>
  <si>
    <t>Gastmannschaft 2:</t>
  </si>
  <si>
    <t>Gastmannschaft 1:</t>
  </si>
  <si>
    <t>Pokusa Michael</t>
  </si>
  <si>
    <t>M</t>
  </si>
  <si>
    <t>Abraham Martin</t>
  </si>
  <si>
    <t>Ing. Hofbauer Markus</t>
  </si>
  <si>
    <t>Legel Bernhard</t>
  </si>
  <si>
    <t>ASVÖ-Cup  Mödling</t>
  </si>
  <si>
    <t>KSV-Mödling</t>
  </si>
  <si>
    <t>KSV Mödling</t>
  </si>
  <si>
    <t>Legel Thomas</t>
  </si>
  <si>
    <t>M343</t>
  </si>
  <si>
    <t>Kanyka Mario</t>
  </si>
  <si>
    <t>M377</t>
  </si>
  <si>
    <t>Huber Anton</t>
  </si>
  <si>
    <t>Tschechien</t>
  </si>
  <si>
    <t>Slowakei</t>
  </si>
  <si>
    <t>Krywult Patrik</t>
  </si>
  <si>
    <t>Janicek Michal</t>
  </si>
  <si>
    <t>Beran Andrej</t>
  </si>
  <si>
    <t>Veznik Petr</t>
  </si>
  <si>
    <t>Kovac Milan</t>
  </si>
  <si>
    <t>Svrcek Pavol</t>
  </si>
  <si>
    <t>Pokusa Matus</t>
  </si>
  <si>
    <t>Dauda Miroslav</t>
  </si>
  <si>
    <t>Chovanec Tomas</t>
  </si>
  <si>
    <t>x</t>
  </si>
  <si>
    <t>Masnica Adam</t>
  </si>
  <si>
    <t>Außer Konk.</t>
  </si>
  <si>
    <t>Internatinale Turnier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</si>
</sst>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öS&quot;\ * #,##0_-;\-&quot;öS&quot;\ * #,##0_-;_-&quot;öS&quot;\ * &quot;-&quot;_-;_-@_-"/>
    <numFmt numFmtId="167" formatCode="_-&quot;öS&quot;\ * #,##0.00_-;\-&quot;öS&quot;\ * #,##0.00_-;_-&quot;öS&quot;\ * &quot;-&quot;??_-;_-@_-"/>
    <numFmt numFmtId="168" formatCode="0.0000"/>
    <numFmt numFmtId="169" formatCode="0.0"/>
    <numFmt numFmtId="170" formatCode="d/\ mmmm\ yyyy"/>
    <numFmt numFmtId="171" formatCode="0.000"/>
    <numFmt numFmtId="172" formatCode="0.000000000"/>
    <numFmt numFmtId="173" formatCode="0&quot;.&quot;"/>
    <numFmt numFmtId="174" formatCode="dd/mm/yy;@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u val="single"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2" xfId="0" applyFont="1" applyBorder="1" applyAlignment="1" applyProtection="1">
      <alignment horizontal="centerContinuous" vertical="center" wrapText="1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 indent="1"/>
      <protection/>
    </xf>
    <xf numFmtId="49" fontId="6" fillId="0" borderId="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9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Continuous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2" borderId="12" xfId="0" applyFont="1" applyFill="1" applyBorder="1" applyAlignment="1" applyProtection="1">
      <alignment horizontal="centerContinuous"/>
      <protection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168" fontId="6" fillId="2" borderId="18" xfId="0" applyNumberFormat="1" applyFont="1" applyFill="1" applyBorder="1" applyAlignment="1" applyProtection="1">
      <alignment horizontal="center" vertical="center"/>
      <protection hidden="1"/>
    </xf>
    <xf numFmtId="168" fontId="6" fillId="2" borderId="19" xfId="0" applyNumberFormat="1" applyFont="1" applyFill="1" applyBorder="1" applyAlignment="1" applyProtection="1">
      <alignment horizontal="center" vertical="center"/>
      <protection hidden="1"/>
    </xf>
    <xf numFmtId="2" fontId="9" fillId="2" borderId="20" xfId="0" applyNumberFormat="1" applyFont="1" applyFill="1" applyBorder="1" applyAlignment="1" applyProtection="1">
      <alignment horizontal="right" vertical="center"/>
      <protection hidden="1"/>
    </xf>
    <xf numFmtId="2" fontId="9" fillId="2" borderId="21" xfId="0" applyNumberFormat="1" applyFont="1" applyFill="1" applyBorder="1" applyAlignment="1" applyProtection="1">
      <alignment horizontal="right" vertical="center"/>
      <protection hidden="1"/>
    </xf>
    <xf numFmtId="169" fontId="9" fillId="2" borderId="22" xfId="0" applyNumberFormat="1" applyFont="1" applyFill="1" applyBorder="1" applyAlignment="1" applyProtection="1">
      <alignment horizontal="right" vertical="center"/>
      <protection hidden="1"/>
    </xf>
    <xf numFmtId="169" fontId="6" fillId="2" borderId="2" xfId="0" applyNumberFormat="1" applyFont="1" applyFill="1" applyBorder="1" applyAlignment="1" applyProtection="1">
      <alignment horizontal="center" vertical="center"/>
      <protection hidden="1"/>
    </xf>
    <xf numFmtId="2" fontId="9" fillId="2" borderId="20" xfId="0" applyNumberFormat="1" applyFont="1" applyFill="1" applyBorder="1" applyAlignment="1" applyProtection="1">
      <alignment horizontal="right" vertical="center"/>
      <protection hidden="1"/>
    </xf>
    <xf numFmtId="0" fontId="6" fillId="2" borderId="22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2" borderId="23" xfId="0" applyFont="1" applyFill="1" applyBorder="1" applyAlignment="1" applyProtection="1">
      <alignment horizontal="right" vertical="center"/>
      <protection hidden="1"/>
    </xf>
    <xf numFmtId="2" fontId="9" fillId="2" borderId="24" xfId="0" applyNumberFormat="1" applyFont="1" applyFill="1" applyBorder="1" applyAlignment="1" applyProtection="1">
      <alignment horizontal="right" vertical="center"/>
      <protection hidden="1"/>
    </xf>
    <xf numFmtId="2" fontId="9" fillId="2" borderId="25" xfId="0" applyNumberFormat="1" applyFont="1" applyFill="1" applyBorder="1" applyAlignment="1" applyProtection="1">
      <alignment horizontal="right" vertical="center"/>
      <protection hidden="1"/>
    </xf>
    <xf numFmtId="2" fontId="9" fillId="2" borderId="24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169" fontId="6" fillId="2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/>
      <protection/>
    </xf>
    <xf numFmtId="171" fontId="6" fillId="2" borderId="0" xfId="0" applyNumberFormat="1" applyFont="1" applyFill="1" applyAlignment="1" applyProtection="1">
      <alignment/>
      <protection/>
    </xf>
    <xf numFmtId="168" fontId="6" fillId="2" borderId="0" xfId="0" applyNumberFormat="1" applyFont="1" applyFill="1" applyAlignment="1" applyProtection="1">
      <alignment/>
      <protection/>
    </xf>
    <xf numFmtId="172" fontId="6" fillId="2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2" fontId="6" fillId="0" borderId="0" xfId="0" applyNumberFormat="1" applyFont="1" applyFill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/>
    </xf>
    <xf numFmtId="2" fontId="9" fillId="0" borderId="14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26" xfId="0" applyFont="1" applyFill="1" applyBorder="1" applyAlignment="1" applyProtection="1">
      <alignment horizontal="centerContinuous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vertical="top"/>
      <protection hidden="1"/>
    </xf>
    <xf numFmtId="0" fontId="11" fillId="0" borderId="28" xfId="0" applyFont="1" applyFill="1" applyBorder="1" applyAlignment="1" applyProtection="1">
      <alignment horizontal="centerContinuous" vertical="top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 horizontal="center" vertical="top"/>
      <protection hidden="1"/>
    </xf>
    <xf numFmtId="0" fontId="11" fillId="0" borderId="16" xfId="0" applyFont="1" applyFill="1" applyBorder="1" applyAlignment="1" applyProtection="1">
      <alignment horizontal="center" vertical="top"/>
      <protection hidden="1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169" fontId="6" fillId="0" borderId="30" xfId="0" applyNumberFormat="1" applyFont="1" applyFill="1" applyBorder="1" applyAlignment="1" applyProtection="1">
      <alignment horizontal="center" vertical="center"/>
      <protection locked="0"/>
    </xf>
    <xf numFmtId="168" fontId="6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2" fontId="9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9" fontId="6" fillId="0" borderId="2" xfId="0" applyNumberFormat="1" applyFont="1" applyFill="1" applyBorder="1" applyAlignment="1" applyProtection="1">
      <alignment horizontal="center" vertical="center"/>
      <protection locked="0"/>
    </xf>
    <xf numFmtId="168" fontId="6" fillId="0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2" fontId="9" fillId="0" borderId="24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169" fontId="6" fillId="0" borderId="35" xfId="0" applyNumberFormat="1" applyFont="1" applyFill="1" applyBorder="1" applyAlignment="1" applyProtection="1">
      <alignment horizontal="center" vertical="center"/>
      <protection locked="0"/>
    </xf>
    <xf numFmtId="168" fontId="6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0" fontId="11" fillId="0" borderId="32" xfId="0" applyFont="1" applyFill="1" applyBorder="1" applyAlignment="1" applyProtection="1">
      <alignment horizontal="right" vertical="center"/>
      <protection hidden="1"/>
    </xf>
    <xf numFmtId="0" fontId="11" fillId="0" borderId="34" xfId="0" applyFont="1" applyFill="1" applyBorder="1" applyAlignment="1" applyProtection="1">
      <alignment horizontal="right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0" fontId="11" fillId="0" borderId="37" xfId="0" applyFont="1" applyFill="1" applyBorder="1" applyAlignment="1" applyProtection="1">
      <alignment horizontal="right" vertical="center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hidden="1"/>
    </xf>
    <xf numFmtId="174" fontId="6" fillId="0" borderId="30" xfId="0" applyNumberFormat="1" applyFont="1" applyBorder="1" applyAlignment="1" applyProtection="1">
      <alignment horizontal="center" vertical="center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 hidden="1"/>
    </xf>
    <xf numFmtId="174" fontId="6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1" fontId="6" fillId="0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 locked="0"/>
    </xf>
    <xf numFmtId="1" fontId="6" fillId="0" borderId="43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6" fillId="0" borderId="44" xfId="0" applyNumberFormat="1" applyFont="1" applyFill="1" applyBorder="1" applyAlignment="1" applyProtection="1">
      <alignment horizontal="center" vertical="center"/>
      <protection locked="0"/>
    </xf>
    <xf numFmtId="1" fontId="6" fillId="0" borderId="45" xfId="0" applyNumberFormat="1" applyFont="1" applyFill="1" applyBorder="1" applyAlignment="1" applyProtection="1">
      <alignment horizontal="center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34" xfId="0" applyNumberFormat="1" applyFont="1" applyFill="1" applyBorder="1" applyAlignment="1" applyProtection="1">
      <alignment horizontal="center" vertical="center"/>
      <protection hidden="1"/>
    </xf>
    <xf numFmtId="1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3" fillId="0" borderId="3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hidden="1"/>
    </xf>
    <xf numFmtId="0" fontId="16" fillId="0" borderId="5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0" xfId="0" applyFont="1" applyAlignment="1">
      <alignment/>
    </xf>
    <xf numFmtId="173" fontId="16" fillId="0" borderId="0" xfId="0" applyNumberFormat="1" applyFont="1" applyFill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/>
      <protection hidden="1"/>
    </xf>
    <xf numFmtId="0" fontId="6" fillId="0" borderId="35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6" xfId="0" applyFont="1" applyFill="1" applyBorder="1" applyAlignment="1" applyProtection="1">
      <alignment vertical="center"/>
      <protection hidden="1"/>
    </xf>
    <xf numFmtId="0" fontId="6" fillId="0" borderId="47" xfId="0" applyFont="1" applyFill="1" applyBorder="1" applyAlignment="1" applyProtection="1">
      <alignment vertical="center"/>
      <protection hidden="1"/>
    </xf>
    <xf numFmtId="0" fontId="1" fillId="0" borderId="48" xfId="0" applyFont="1" applyFill="1" applyBorder="1" applyAlignment="1" applyProtection="1">
      <alignment horizontal="left" vertical="center" indent="1"/>
      <protection hidden="1"/>
    </xf>
    <xf numFmtId="0" fontId="1" fillId="0" borderId="45" xfId="0" applyFont="1" applyFill="1" applyBorder="1" applyAlignment="1" applyProtection="1">
      <alignment horizontal="left" vertical="center" indent="1"/>
      <protection hidden="1"/>
    </xf>
    <xf numFmtId="0" fontId="13" fillId="0" borderId="3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1" fillId="0" borderId="20" xfId="0" applyFont="1" applyFill="1" applyBorder="1" applyAlignment="1" applyProtection="1">
      <alignment horizontal="right" vertical="center"/>
      <protection hidden="1"/>
    </xf>
    <xf numFmtId="0" fontId="11" fillId="0" borderId="3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right" vertical="center"/>
      <protection hidden="1"/>
    </xf>
    <xf numFmtId="0" fontId="0" fillId="0" borderId="49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2" fontId="9" fillId="0" borderId="49" xfId="0" applyNumberFormat="1" applyFont="1" applyFill="1" applyBorder="1" applyAlignment="1" applyProtection="1">
      <alignment horizontal="right" vertical="center"/>
      <protection hidden="1"/>
    </xf>
    <xf numFmtId="2" fontId="9" fillId="0" borderId="24" xfId="0" applyNumberFormat="1" applyFont="1" applyFill="1" applyBorder="1" applyAlignment="1" applyProtection="1">
      <alignment horizontal="right" vertical="center"/>
      <protection hidden="1"/>
    </xf>
    <xf numFmtId="0" fontId="11" fillId="0" borderId="25" xfId="0" applyFont="1" applyFill="1" applyBorder="1" applyAlignment="1" applyProtection="1">
      <alignment horizontal="right" vertical="center"/>
      <protection hidden="1"/>
    </xf>
    <xf numFmtId="0" fontId="11" fillId="0" borderId="2" xfId="0" applyFont="1" applyFill="1" applyBorder="1" applyAlignment="1" applyProtection="1">
      <alignment horizontal="right" vertical="center"/>
      <protection hidden="1"/>
    </xf>
    <xf numFmtId="0" fontId="11" fillId="0" borderId="13" xfId="0" applyFont="1" applyFill="1" applyBorder="1" applyAlignment="1" applyProtection="1">
      <alignment horizontal="right" vertical="center"/>
      <protection hidden="1"/>
    </xf>
    <xf numFmtId="0" fontId="11" fillId="0" borderId="35" xfId="0" applyFont="1" applyFill="1" applyBorder="1" applyAlignment="1" applyProtection="1">
      <alignment horizontal="right" vertical="center"/>
      <protection hidden="1"/>
    </xf>
    <xf numFmtId="0" fontId="11" fillId="0" borderId="36" xfId="0" applyFont="1" applyFill="1" applyBorder="1" applyAlignment="1" applyProtection="1">
      <alignment horizontal="right" vertical="center"/>
      <protection hidden="1"/>
    </xf>
    <xf numFmtId="4" fontId="9" fillId="0" borderId="50" xfId="0" applyNumberFormat="1" applyFont="1" applyFill="1" applyBorder="1" applyAlignment="1" applyProtection="1">
      <alignment horizontal="right" vertical="center"/>
      <protection hidden="1"/>
    </xf>
    <xf numFmtId="4" fontId="9" fillId="0" borderId="14" xfId="0" applyNumberFormat="1" applyFont="1" applyFill="1" applyBorder="1" applyAlignment="1" applyProtection="1">
      <alignment horizontal="right" vertical="center"/>
      <protection hidden="1"/>
    </xf>
    <xf numFmtId="2" fontId="9" fillId="0" borderId="50" xfId="0" applyNumberFormat="1" applyFont="1" applyFill="1" applyBorder="1" applyAlignment="1" applyProtection="1">
      <alignment horizontal="right" vertical="center"/>
      <protection hidden="1"/>
    </xf>
    <xf numFmtId="2" fontId="9" fillId="0" borderId="14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1" fillId="0" borderId="31" xfId="0" applyFont="1" applyFill="1" applyBorder="1" applyAlignment="1" applyProtection="1">
      <alignment horizontal="right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2" fontId="9" fillId="0" borderId="19" xfId="0" applyNumberFormat="1" applyFont="1" applyFill="1" applyBorder="1" applyAlignment="1" applyProtection="1">
      <alignment horizontal="right" vertical="center"/>
      <protection hidden="1"/>
    </xf>
    <xf numFmtId="2" fontId="9" fillId="0" borderId="21" xfId="0" applyNumberFormat="1" applyFont="1" applyFill="1" applyBorder="1" applyAlignment="1" applyProtection="1">
      <alignment horizontal="right" vertical="center"/>
      <protection hidden="1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170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22" fillId="0" borderId="3" xfId="0" applyFont="1" applyFill="1" applyBorder="1" applyAlignment="1" applyProtection="1">
      <alignment horizontal="center" vertical="center" textRotation="90"/>
      <protection hidden="1"/>
    </xf>
    <xf numFmtId="0" fontId="22" fillId="0" borderId="10" xfId="0" applyFont="1" applyFill="1" applyBorder="1" applyAlignment="1" applyProtection="1">
      <alignment horizontal="center" vertical="center" textRotation="90"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6" fillId="0" borderId="51" xfId="0" applyFont="1" applyFill="1" applyBorder="1" applyAlignment="1" applyProtection="1">
      <alignment horizontal="center"/>
      <protection hidden="1"/>
    </xf>
    <xf numFmtId="0" fontId="6" fillId="0" borderId="52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35" xfId="0" applyFont="1" applyFill="1" applyBorder="1" applyAlignment="1" applyProtection="1">
      <alignment horizontal="center"/>
      <protection hidden="1"/>
    </xf>
    <xf numFmtId="0" fontId="6" fillId="0" borderId="36" xfId="0" applyFont="1" applyFill="1" applyBorder="1" applyAlignment="1" applyProtection="1">
      <alignment horizontal="center"/>
      <protection hidden="1"/>
    </xf>
    <xf numFmtId="0" fontId="6" fillId="0" borderId="50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6" fillId="2" borderId="53" xfId="0" applyFont="1" applyFill="1" applyBorder="1" applyAlignment="1" applyProtection="1">
      <alignment horizontal="center" vertical="center"/>
      <protection hidden="1"/>
    </xf>
    <xf numFmtId="2" fontId="1" fillId="0" borderId="5" xfId="0" applyNumberFormat="1" applyFont="1" applyFill="1" applyBorder="1" applyAlignment="1" applyProtection="1">
      <alignment horizontal="center" wrapText="1"/>
      <protection hidden="1"/>
    </xf>
    <xf numFmtId="2" fontId="1" fillId="0" borderId="9" xfId="0" applyNumberFormat="1" applyFont="1" applyFill="1" applyBorder="1" applyAlignment="1" applyProtection="1">
      <alignment horizontal="center" wrapText="1"/>
      <protection hidden="1"/>
    </xf>
    <xf numFmtId="2" fontId="1" fillId="0" borderId="0" xfId="0" applyNumberFormat="1" applyFont="1" applyFill="1" applyBorder="1" applyAlignment="1" applyProtection="1">
      <alignment horizontal="center" wrapText="1"/>
      <protection hidden="1"/>
    </xf>
    <xf numFmtId="2" fontId="1" fillId="0" borderId="1" xfId="0" applyNumberFormat="1" applyFont="1" applyFill="1" applyBorder="1" applyAlignment="1" applyProtection="1">
      <alignment horizontal="center" wrapText="1"/>
      <protection hidden="1"/>
    </xf>
    <xf numFmtId="4" fontId="9" fillId="0" borderId="43" xfId="0" applyNumberFormat="1" applyFont="1" applyFill="1" applyBorder="1" applyAlignment="1" applyProtection="1">
      <alignment horizontal="right" vertical="center"/>
      <protection hidden="1"/>
    </xf>
    <xf numFmtId="0" fontId="13" fillId="0" borderId="38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9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 wrapText="1" indent="1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16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6" fillId="0" borderId="3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314325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showGridLines="0" tabSelected="1" workbookViewId="0" topLeftCell="B25">
      <selection activeCell="E10" sqref="E10"/>
    </sheetView>
  </sheetViews>
  <sheetFormatPr defaultColWidth="11.421875" defaultRowHeight="12.75"/>
  <cols>
    <col min="1" max="1" width="3.00390625" style="0" customWidth="1"/>
    <col min="2" max="2" width="20.8515625" style="0" customWidth="1"/>
    <col min="3" max="3" width="3.140625" style="0" customWidth="1"/>
    <col min="4" max="4" width="6.7109375" style="0" customWidth="1"/>
    <col min="5" max="6" width="6.00390625" style="0" customWidth="1"/>
    <col min="7" max="7" width="6.7109375" style="0" customWidth="1"/>
    <col min="8" max="8" width="4.8515625" style="0" customWidth="1"/>
    <col min="9" max="9" width="2.00390625" style="0" customWidth="1"/>
    <col min="10" max="10" width="4.8515625" style="0" customWidth="1"/>
    <col min="11" max="11" width="2.00390625" style="0" customWidth="1"/>
    <col min="12" max="12" width="4.8515625" style="0" customWidth="1"/>
    <col min="13" max="13" width="2.00390625" style="0" customWidth="1"/>
    <col min="14" max="14" width="4.57421875" style="0" customWidth="1"/>
    <col min="15" max="15" width="2.57421875" style="0" customWidth="1"/>
    <col min="16" max="16" width="4.8515625" style="0" customWidth="1"/>
    <col min="17" max="17" width="2.00390625" style="0" customWidth="1"/>
    <col min="18" max="22" width="2.00390625" style="0" hidden="1" customWidth="1"/>
    <col min="23" max="23" width="4.8515625" style="0" customWidth="1"/>
    <col min="24" max="24" width="2.00390625" style="0" customWidth="1"/>
    <col min="25" max="25" width="4.8515625" style="0" customWidth="1"/>
    <col min="26" max="26" width="2.00390625" style="0" customWidth="1"/>
    <col min="27" max="29" width="7.140625" style="0" customWidth="1"/>
    <col min="30" max="30" width="4.8515625" style="0" customWidth="1"/>
    <col min="31" max="34" width="5.7109375" style="0" customWidth="1"/>
    <col min="36" max="51" width="11.421875" style="0" hidden="1" customWidth="1"/>
  </cols>
  <sheetData>
    <row r="1" spans="2:49" s="37" customFormat="1" ht="15.75" customHeight="1">
      <c r="B1" s="202" t="s">
        <v>99</v>
      </c>
      <c r="C1" s="38"/>
      <c r="D1" s="203" t="s">
        <v>100</v>
      </c>
      <c r="E1" s="204"/>
      <c r="F1" s="205" t="s">
        <v>129</v>
      </c>
      <c r="G1" s="206"/>
      <c r="H1" s="206"/>
      <c r="I1" s="206"/>
      <c r="J1" s="206"/>
      <c r="K1" s="206"/>
      <c r="L1" s="206"/>
      <c r="M1" s="206"/>
      <c r="N1" s="206"/>
      <c r="O1" s="206"/>
      <c r="P1" s="40"/>
      <c r="Q1" s="86" t="s">
        <v>0</v>
      </c>
      <c r="R1" s="86"/>
      <c r="S1" s="86"/>
      <c r="T1" s="86"/>
      <c r="U1" s="86"/>
      <c r="V1" s="86"/>
      <c r="W1" s="247">
        <v>40873</v>
      </c>
      <c r="X1" s="248"/>
      <c r="Y1" s="248"/>
      <c r="Z1" s="248"/>
      <c r="AA1" s="248"/>
      <c r="AB1" s="40" t="s">
        <v>1</v>
      </c>
      <c r="AC1" s="40"/>
      <c r="AE1" s="45"/>
      <c r="AF1" s="45"/>
      <c r="AG1" s="45"/>
      <c r="AH1" s="45"/>
      <c r="AI1" s="45"/>
      <c r="AJ1" s="240"/>
      <c r="AK1" s="241"/>
      <c r="AL1" s="241"/>
      <c r="AM1" s="241"/>
      <c r="AN1" s="88"/>
      <c r="AP1" s="98" t="s">
        <v>101</v>
      </c>
      <c r="AQ1" s="100">
        <v>2.7473</v>
      </c>
      <c r="AR1" s="41"/>
      <c r="AS1" s="46"/>
      <c r="AT1" s="98" t="s">
        <v>102</v>
      </c>
      <c r="AU1" s="101">
        <v>0.784780654</v>
      </c>
      <c r="AV1" s="98" t="s">
        <v>107</v>
      </c>
      <c r="AW1" s="101">
        <v>1.316081431</v>
      </c>
    </row>
    <row r="2" spans="2:49" s="37" customFormat="1" ht="15.75" customHeight="1">
      <c r="B2" s="202"/>
      <c r="C2" s="38"/>
      <c r="D2" s="39"/>
      <c r="E2" s="39"/>
      <c r="F2" s="242"/>
      <c r="G2" s="243"/>
      <c r="H2" s="243"/>
      <c r="I2" s="243"/>
      <c r="J2" s="243"/>
      <c r="K2" s="243"/>
      <c r="L2" s="243"/>
      <c r="M2" s="243"/>
      <c r="N2" s="243"/>
      <c r="O2" s="83"/>
      <c r="P2" s="40"/>
      <c r="Q2" s="86" t="s">
        <v>2</v>
      </c>
      <c r="R2" s="86"/>
      <c r="S2" s="86"/>
      <c r="T2" s="86"/>
      <c r="U2" s="86"/>
      <c r="V2" s="86"/>
      <c r="W2" s="244">
        <v>0.7083333333333334</v>
      </c>
      <c r="X2" s="206"/>
      <c r="Y2" s="206"/>
      <c r="Z2" s="206"/>
      <c r="AA2" s="206"/>
      <c r="AB2" s="245" t="s">
        <v>151</v>
      </c>
      <c r="AC2" s="245"/>
      <c r="AE2" s="45"/>
      <c r="AF2" s="45"/>
      <c r="AG2" s="45"/>
      <c r="AH2" s="45"/>
      <c r="AI2" s="45"/>
      <c r="AJ2" s="42"/>
      <c r="AK2" s="42"/>
      <c r="AL2" s="42"/>
      <c r="AM2" s="43"/>
      <c r="AN2" s="89"/>
      <c r="AO2" s="97"/>
      <c r="AP2" s="98" t="s">
        <v>108</v>
      </c>
      <c r="AQ2" s="100">
        <v>2.8273</v>
      </c>
      <c r="AR2" s="44"/>
      <c r="AS2" s="46"/>
      <c r="AT2" s="98" t="s">
        <v>103</v>
      </c>
      <c r="AU2" s="99">
        <v>173.961</v>
      </c>
      <c r="AV2" s="98" t="s">
        <v>105</v>
      </c>
      <c r="AW2" s="99">
        <v>107.844</v>
      </c>
    </row>
    <row r="3" spans="2:49" s="37" customFormat="1" ht="15.75" customHeight="1">
      <c r="B3" s="202"/>
      <c r="C3" s="203" t="s">
        <v>3</v>
      </c>
      <c r="D3" s="204"/>
      <c r="E3" s="204"/>
      <c r="F3" s="246" t="s">
        <v>131</v>
      </c>
      <c r="G3" s="243"/>
      <c r="H3" s="243"/>
      <c r="I3" s="243"/>
      <c r="J3" s="243"/>
      <c r="K3" s="243"/>
      <c r="L3" s="243"/>
      <c r="M3" s="243"/>
      <c r="N3" s="243"/>
      <c r="O3" s="83"/>
      <c r="P3" s="40"/>
      <c r="Q3" s="86" t="s">
        <v>4</v>
      </c>
      <c r="R3" s="86"/>
      <c r="S3" s="86"/>
      <c r="T3" s="86"/>
      <c r="U3" s="86"/>
      <c r="V3" s="86"/>
      <c r="W3" s="244">
        <v>0.8333333333333334</v>
      </c>
      <c r="X3" s="206"/>
      <c r="Y3" s="206"/>
      <c r="Z3" s="206"/>
      <c r="AA3" s="206"/>
      <c r="AB3" s="245"/>
      <c r="AC3" s="245"/>
      <c r="AE3" s="45"/>
      <c r="AF3" s="45"/>
      <c r="AG3" s="45"/>
      <c r="AH3" s="45"/>
      <c r="AI3" s="45"/>
      <c r="AJ3" s="240"/>
      <c r="AK3" s="241"/>
      <c r="AL3" s="241"/>
      <c r="AM3" s="241"/>
      <c r="AN3" s="88"/>
      <c r="AO3" s="97"/>
      <c r="AP3" s="97"/>
      <c r="AQ3" s="41"/>
      <c r="AR3" s="41"/>
      <c r="AS3" s="46"/>
      <c r="AT3" s="98" t="s">
        <v>104</v>
      </c>
      <c r="AU3" s="99">
        <v>32</v>
      </c>
      <c r="AV3" s="98" t="s">
        <v>106</v>
      </c>
      <c r="AW3" s="99">
        <v>28</v>
      </c>
    </row>
    <row r="4" spans="2:48" s="37" customFormat="1" ht="4.5" customHeight="1" thickBot="1">
      <c r="B4" s="45"/>
      <c r="C4" s="45"/>
      <c r="AE4" s="45"/>
      <c r="AF4" s="45"/>
      <c r="AG4" s="45"/>
      <c r="AH4" s="45"/>
      <c r="AI4" s="45"/>
      <c r="AQ4" s="46"/>
      <c r="AR4" s="46"/>
      <c r="AS4" s="46"/>
      <c r="AT4" s="46"/>
      <c r="AU4" s="46"/>
      <c r="AV4" s="46"/>
    </row>
    <row r="5" spans="1:48" s="37" customFormat="1" ht="14.25" customHeight="1" thickBot="1" thickTop="1">
      <c r="A5" s="193" t="s">
        <v>5</v>
      </c>
      <c r="B5" s="195" t="s">
        <v>6</v>
      </c>
      <c r="C5" s="249" t="s">
        <v>95</v>
      </c>
      <c r="D5" s="110" t="s">
        <v>111</v>
      </c>
      <c r="E5" s="110" t="s">
        <v>7</v>
      </c>
      <c r="F5" s="110" t="s">
        <v>8</v>
      </c>
      <c r="G5" s="111" t="s">
        <v>9</v>
      </c>
      <c r="H5" s="251" t="s">
        <v>10</v>
      </c>
      <c r="I5" s="252"/>
      <c r="J5" s="252"/>
      <c r="K5" s="252"/>
      <c r="L5" s="252"/>
      <c r="M5" s="252"/>
      <c r="N5" s="252"/>
      <c r="O5" s="253"/>
      <c r="P5" s="251" t="s">
        <v>11</v>
      </c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112" t="s">
        <v>12</v>
      </c>
      <c r="AC5" s="113" t="s">
        <v>13</v>
      </c>
      <c r="AE5" s="259" t="s">
        <v>89</v>
      </c>
      <c r="AF5" s="259"/>
      <c r="AG5" s="259"/>
      <c r="AH5" s="259"/>
      <c r="AI5" s="45"/>
      <c r="AJ5" s="47" t="s">
        <v>8</v>
      </c>
      <c r="AK5" s="48" t="s">
        <v>9</v>
      </c>
      <c r="AL5" s="49" t="s">
        <v>86</v>
      </c>
      <c r="AM5" s="50" t="s">
        <v>14</v>
      </c>
      <c r="AN5" s="51" t="s">
        <v>15</v>
      </c>
      <c r="AO5" s="52" t="s">
        <v>12</v>
      </c>
      <c r="AP5" s="53" t="s">
        <v>16</v>
      </c>
      <c r="AQ5" s="260" t="s">
        <v>14</v>
      </c>
      <c r="AR5" s="260"/>
      <c r="AS5" s="260"/>
      <c r="AT5" s="260" t="s">
        <v>15</v>
      </c>
      <c r="AU5" s="260"/>
      <c r="AV5" s="260"/>
    </row>
    <row r="6" spans="1:48" s="37" customFormat="1" ht="12.75" customHeight="1" thickBot="1">
      <c r="A6" s="194"/>
      <c r="B6" s="196"/>
      <c r="C6" s="250"/>
      <c r="D6" s="114"/>
      <c r="E6" s="114" t="s">
        <v>5</v>
      </c>
      <c r="F6" s="114" t="s">
        <v>17</v>
      </c>
      <c r="G6" s="115" t="s">
        <v>18</v>
      </c>
      <c r="H6" s="254" t="s">
        <v>19</v>
      </c>
      <c r="I6" s="255"/>
      <c r="J6" s="255" t="s">
        <v>20</v>
      </c>
      <c r="K6" s="255"/>
      <c r="L6" s="255" t="s">
        <v>21</v>
      </c>
      <c r="M6" s="256"/>
      <c r="N6" s="257" t="s">
        <v>22</v>
      </c>
      <c r="O6" s="258"/>
      <c r="P6" s="254" t="s">
        <v>19</v>
      </c>
      <c r="Q6" s="255"/>
      <c r="R6" s="190"/>
      <c r="S6" s="190"/>
      <c r="T6" s="190"/>
      <c r="U6" s="190"/>
      <c r="V6" s="190"/>
      <c r="W6" s="255" t="s">
        <v>20</v>
      </c>
      <c r="X6" s="255"/>
      <c r="Y6" s="255" t="s">
        <v>21</v>
      </c>
      <c r="Z6" s="255"/>
      <c r="AA6" s="116" t="s">
        <v>22</v>
      </c>
      <c r="AB6" s="117" t="s">
        <v>23</v>
      </c>
      <c r="AC6" s="118" t="s">
        <v>24</v>
      </c>
      <c r="AE6" s="84" t="s">
        <v>87</v>
      </c>
      <c r="AF6" s="84" t="s">
        <v>88</v>
      </c>
      <c r="AG6" s="84" t="s">
        <v>14</v>
      </c>
      <c r="AH6" s="84" t="s">
        <v>15</v>
      </c>
      <c r="AI6" s="45"/>
      <c r="AJ6" s="54" t="s">
        <v>17</v>
      </c>
      <c r="AK6" s="55" t="s">
        <v>18</v>
      </c>
      <c r="AL6" s="56" t="s">
        <v>18</v>
      </c>
      <c r="AM6" s="57" t="s">
        <v>22</v>
      </c>
      <c r="AN6" s="58" t="s">
        <v>22</v>
      </c>
      <c r="AO6" s="59" t="s">
        <v>23</v>
      </c>
      <c r="AP6" s="60" t="s">
        <v>22</v>
      </c>
      <c r="AQ6" s="61">
        <v>1</v>
      </c>
      <c r="AR6" s="61">
        <v>2</v>
      </c>
      <c r="AS6" s="61">
        <v>3</v>
      </c>
      <c r="AT6" s="61">
        <v>1</v>
      </c>
      <c r="AU6" s="61">
        <v>2</v>
      </c>
      <c r="AV6" s="61">
        <v>3</v>
      </c>
    </row>
    <row r="7" spans="1:48" s="37" customFormat="1" ht="15" customHeight="1">
      <c r="A7" s="119">
        <v>1</v>
      </c>
      <c r="B7" s="120" t="s">
        <v>124</v>
      </c>
      <c r="C7" s="121" t="s">
        <v>125</v>
      </c>
      <c r="D7" s="161">
        <v>31908</v>
      </c>
      <c r="E7" s="122">
        <v>4525</v>
      </c>
      <c r="F7" s="123">
        <v>111.5</v>
      </c>
      <c r="G7" s="124">
        <f>AL7</f>
        <v>1.0698</v>
      </c>
      <c r="H7" s="166">
        <v>130</v>
      </c>
      <c r="I7" s="125"/>
      <c r="J7" s="169">
        <v>140</v>
      </c>
      <c r="K7" s="125" t="s">
        <v>148</v>
      </c>
      <c r="L7" s="169">
        <v>140</v>
      </c>
      <c r="M7" s="126"/>
      <c r="N7" s="235">
        <f aca="true" t="shared" si="0" ref="N7:N12">AM7</f>
        <v>149.77</v>
      </c>
      <c r="O7" s="236"/>
      <c r="P7" s="166">
        <v>170</v>
      </c>
      <c r="Q7" s="125"/>
      <c r="R7" s="207"/>
      <c r="S7" s="207"/>
      <c r="T7" s="207"/>
      <c r="U7" s="207"/>
      <c r="V7" s="207"/>
      <c r="W7" s="169">
        <v>180</v>
      </c>
      <c r="X7" s="125"/>
      <c r="Y7" s="169">
        <v>195</v>
      </c>
      <c r="Z7" s="125" t="s">
        <v>148</v>
      </c>
      <c r="AA7" s="127">
        <f aca="true" t="shared" si="1" ref="AA7:AC14">AN7</f>
        <v>192.56</v>
      </c>
      <c r="AB7" s="172">
        <f t="shared" si="1"/>
        <v>320</v>
      </c>
      <c r="AC7" s="127">
        <f t="shared" si="1"/>
        <v>342.33000000000004</v>
      </c>
      <c r="AE7" s="90">
        <f>IF(D7="","",YEAR(IF(D7&gt;1900,D7,IF(D7&lt;11,D7+2000,D7+1900))))</f>
        <v>1987</v>
      </c>
      <c r="AF7" s="90">
        <f>IF(AE7="","",YEAR(W$1)-(AE7))</f>
        <v>24</v>
      </c>
      <c r="AG7" s="84">
        <f>IF(AF7=17,10,IF(AF7=16,10,IF(AF7=15,20,IF(AF7=14,20,))))</f>
        <v>0</v>
      </c>
      <c r="AH7" s="84">
        <f>IF(AF7=17,20,IF(AF7=16,20,IF(AF7=15,30,IF(AF7=14,30,))))</f>
        <v>0</v>
      </c>
      <c r="AI7" s="45"/>
      <c r="AJ7" s="91">
        <f>ROUND(F7,1)</f>
        <v>111.5</v>
      </c>
      <c r="AK7" s="62">
        <f ca="1">IF(ISBLANK(F7),"",IF(F7&gt;0,IF(AJ7&gt;mkgmin,IF(AJ7&lt;mkgmax,ROUND(10^(mwert*LOG(OFFSET(AK7,0,-1)/mkgmax)^2),4),1),mscfmax)))</f>
        <v>1.0698</v>
      </c>
      <c r="AL7" s="63">
        <f>IF(ISBLANK(F7),"",IF(C7="F",AK7+0.4,AK7))</f>
        <v>1.0698</v>
      </c>
      <c r="AM7" s="64">
        <f>IF(B7="","",IF(F7="","",IF(MAX(AQ7:AS7)&lt;0,0,ROUND(MAX(AQ7:AS7)*$AL7,2))))</f>
        <v>149.77</v>
      </c>
      <c r="AN7" s="65">
        <f>IF(B7="","",IF(F7="","",IF(MAX(AT7:AV7)&lt;0,0,ROUND(MAX(AT7:AV7)*$AL7,2))))</f>
        <v>192.56</v>
      </c>
      <c r="AO7" s="66">
        <f>IF(B7="","",IF(F7="","",MAX(AQ7:AS7)+MAX(AT7:AV7)))</f>
        <v>320</v>
      </c>
      <c r="AP7" s="65">
        <f>IF(B7="","",IF(F7="","",AM7+AN7))</f>
        <v>342.33000000000004</v>
      </c>
      <c r="AQ7" s="67">
        <f>IF(I7="x",0,H7)</f>
        <v>130</v>
      </c>
      <c r="AR7" s="67">
        <f>IF(K7="x",0,J7)</f>
        <v>0</v>
      </c>
      <c r="AS7" s="67">
        <f>IF(M7="x",0,L7)</f>
        <v>140</v>
      </c>
      <c r="AT7" s="67">
        <f>IF(Q7="x",0,P7)</f>
        <v>170</v>
      </c>
      <c r="AU7" s="67">
        <f>IF(X7="x",0,W7)</f>
        <v>180</v>
      </c>
      <c r="AV7" s="67">
        <f>IF(Z7="x",0,Y7)</f>
        <v>0</v>
      </c>
    </row>
    <row r="8" spans="1:48" s="37" customFormat="1" ht="15" customHeight="1">
      <c r="A8" s="128">
        <v>2</v>
      </c>
      <c r="B8" s="120" t="s">
        <v>126</v>
      </c>
      <c r="C8" s="121" t="s">
        <v>125</v>
      </c>
      <c r="D8" s="161">
        <v>30422</v>
      </c>
      <c r="E8" s="129">
        <v>4027</v>
      </c>
      <c r="F8" s="130">
        <v>95.7</v>
      </c>
      <c r="G8" s="131"/>
      <c r="H8" s="167">
        <v>110</v>
      </c>
      <c r="I8" s="132"/>
      <c r="J8" s="170">
        <v>115</v>
      </c>
      <c r="K8" s="132"/>
      <c r="L8" s="170">
        <v>120</v>
      </c>
      <c r="M8" s="133" t="s">
        <v>148</v>
      </c>
      <c r="N8" s="220">
        <f t="shared" si="0"/>
        <v>129.88</v>
      </c>
      <c r="O8" s="221"/>
      <c r="P8" s="167">
        <v>130</v>
      </c>
      <c r="Q8" s="132"/>
      <c r="R8" s="208"/>
      <c r="S8" s="208"/>
      <c r="T8" s="208"/>
      <c r="U8" s="208"/>
      <c r="V8" s="208"/>
      <c r="W8" s="170">
        <v>140</v>
      </c>
      <c r="X8" s="132"/>
      <c r="Y8" s="170">
        <v>142</v>
      </c>
      <c r="Z8" s="132"/>
      <c r="AA8" s="134">
        <f t="shared" si="1"/>
        <v>160.37</v>
      </c>
      <c r="AB8" s="173">
        <f t="shared" si="1"/>
        <v>257</v>
      </c>
      <c r="AC8" s="134">
        <f t="shared" si="1"/>
        <v>290.25</v>
      </c>
      <c r="AE8" s="90">
        <f>IF(D8="","",YEAR(IF(D8&gt;1900,D8,IF(D8&lt;11,D8+2000,D8+1900))))</f>
        <v>1983</v>
      </c>
      <c r="AF8" s="90">
        <f>IF(AE8="","",YEAR(W$1)-(AE8))</f>
        <v>28</v>
      </c>
      <c r="AG8" s="84">
        <f>IF(AF8=17,10,IF(AF8=16,10,IF(AF8=15,20,IF(AF8=14,20,))))</f>
        <v>0</v>
      </c>
      <c r="AH8" s="84">
        <f>IF(AF8=17,20,IF(AF8=16,20,IF(AF8=15,30,IF(AF8=14,30,))))</f>
        <v>0</v>
      </c>
      <c r="AI8" s="45"/>
      <c r="AJ8" s="91">
        <f>ROUND(F8,1)</f>
        <v>95.7</v>
      </c>
      <c r="AK8" s="62">
        <f ca="1">IF(ISBLANK(F8),"",IF(F8&gt;0,IF(AJ8&gt;mkgmin,IF(AJ8&lt;mkgmax,ROUND(10^(mwert*LOG(OFFSET(AK8,0,-1)/mkgmax)^2),4),1),mscfmax)))</f>
        <v>1.1294</v>
      </c>
      <c r="AL8" s="63">
        <f>IF(ISBLANK(F8),"",IF(C8="F",AK8+0.4,AK8))</f>
        <v>1.1294</v>
      </c>
      <c r="AM8" s="64">
        <f>IF(B8="","",IF(F8="","",IF(MAX(AQ8:AS8)&lt;0,0,ROUND(MAX(AQ8:AS8)*$AL8,2))))</f>
        <v>129.88</v>
      </c>
      <c r="AN8" s="65">
        <f>IF(B8="","",IF(F8="","",IF(MAX(AT8:AV8)&lt;0,0,ROUND(MAX(AT8:AV8)*$AL8,2))))</f>
        <v>160.37</v>
      </c>
      <c r="AO8" s="66">
        <f>IF(B8="","",IF(F8="","",MAX(AQ8:AS8)+MAX(AT8:AV8)))</f>
        <v>257</v>
      </c>
      <c r="AP8" s="65">
        <f>IF(B8="","",IF(F8="","",AM8+AN8))</f>
        <v>290.25</v>
      </c>
      <c r="AQ8" s="67">
        <f>IF(I8="x",0,H8)</f>
        <v>110</v>
      </c>
      <c r="AR8" s="67">
        <f>IF(K8="x",0,J8)</f>
        <v>115</v>
      </c>
      <c r="AS8" s="67">
        <f>IF(M8="x",0,L8)</f>
        <v>0</v>
      </c>
      <c r="AT8" s="67">
        <f>IF(Q8="x",0,P8)</f>
        <v>130</v>
      </c>
      <c r="AU8" s="67">
        <f>IF(X8="x",0,W8)</f>
        <v>140</v>
      </c>
      <c r="AV8" s="67">
        <f>IF(Z8="x",0,Y8)</f>
        <v>142</v>
      </c>
    </row>
    <row r="9" spans="1:48" s="37" customFormat="1" ht="15" customHeight="1">
      <c r="A9" s="128">
        <v>3</v>
      </c>
      <c r="B9" s="120" t="s">
        <v>127</v>
      </c>
      <c r="C9" s="121" t="s">
        <v>125</v>
      </c>
      <c r="D9" s="161">
        <v>30098</v>
      </c>
      <c r="E9" s="129">
        <v>4116</v>
      </c>
      <c r="F9" s="130">
        <v>69</v>
      </c>
      <c r="G9" s="131"/>
      <c r="H9" s="167">
        <v>80</v>
      </c>
      <c r="I9" s="132"/>
      <c r="J9" s="170">
        <v>87</v>
      </c>
      <c r="K9" s="132" t="s">
        <v>148</v>
      </c>
      <c r="L9" s="170">
        <v>87</v>
      </c>
      <c r="M9" s="133"/>
      <c r="N9" s="220">
        <f t="shared" si="0"/>
        <v>116.44</v>
      </c>
      <c r="O9" s="221"/>
      <c r="P9" s="167">
        <v>105</v>
      </c>
      <c r="Q9" s="132"/>
      <c r="R9" s="208"/>
      <c r="S9" s="208"/>
      <c r="T9" s="208"/>
      <c r="U9" s="208"/>
      <c r="V9" s="208"/>
      <c r="W9" s="170">
        <v>110</v>
      </c>
      <c r="X9" s="132"/>
      <c r="Y9" s="170">
        <v>115</v>
      </c>
      <c r="Z9" s="132"/>
      <c r="AA9" s="134">
        <f t="shared" si="1"/>
        <v>153.92</v>
      </c>
      <c r="AB9" s="173">
        <f t="shared" si="1"/>
        <v>202</v>
      </c>
      <c r="AC9" s="134">
        <f t="shared" si="1"/>
        <v>270.36</v>
      </c>
      <c r="AE9" s="90">
        <f>IF(D9="","",YEAR(IF(D9&gt;1900,D9,IF(D9&lt;11,D9+2000,D9+1900))))</f>
        <v>1982</v>
      </c>
      <c r="AF9" s="90">
        <f>IF(AE9="","",YEAR(W$1)-(AE9))</f>
        <v>29</v>
      </c>
      <c r="AG9" s="84">
        <f>IF(AF9=17,10,IF(AF9=16,10,IF(AF9=15,20,IF(AF9=14,20,))))</f>
        <v>0</v>
      </c>
      <c r="AH9" s="84">
        <f>IF(AF9=17,20,IF(AF9=16,20,IF(AF9=15,30,IF(AF9=14,30,))))</f>
        <v>0</v>
      </c>
      <c r="AI9" s="45"/>
      <c r="AJ9" s="91">
        <f>ROUND(F9,1)</f>
        <v>69</v>
      </c>
      <c r="AK9" s="62">
        <f ca="1">IF(ISBLANK(F9),"",IF(F9&gt;0,IF(AJ9&gt;mkgmin,IF(AJ9&lt;mkgmax,ROUND(10^(mwert*LOG(OFFSET(AK9,0,-1)/mkgmax)^2),4),1),mscfmax)))</f>
        <v>1.3384</v>
      </c>
      <c r="AL9" s="63">
        <f>IF(ISBLANK(F9),"",IF(C9="F",AK9+0.4,AK9))</f>
        <v>1.3384</v>
      </c>
      <c r="AM9" s="64">
        <f>IF(B9="","",IF(F9="","",IF(MAX(AQ9:AS9)&lt;0,0,ROUND(MAX(AQ9:AS9)*$AL9,2))))</f>
        <v>116.44</v>
      </c>
      <c r="AN9" s="65">
        <f>IF(B9="","",IF(F9="","",IF(MAX(AT9:AV9)&lt;0,0,ROUND(MAX(AT9:AV9)*$AL9,2))))</f>
        <v>153.92</v>
      </c>
      <c r="AO9" s="66">
        <f>IF(B9="","",IF(F9="","",MAX(AQ9:AS9)+MAX(AT9:AV9)))</f>
        <v>202</v>
      </c>
      <c r="AP9" s="65">
        <f>IF(B9="","",IF(F9="","",AM9+AN9))</f>
        <v>270.36</v>
      </c>
      <c r="AQ9" s="67">
        <f>IF(I9="x",0,H9)</f>
        <v>80</v>
      </c>
      <c r="AR9" s="67">
        <f>IF(K9="x",0,J9)</f>
        <v>0</v>
      </c>
      <c r="AS9" s="67">
        <f>IF(M9="x",0,L9)</f>
        <v>87</v>
      </c>
      <c r="AT9" s="67">
        <f>IF(Q9="x",0,P9)</f>
        <v>105</v>
      </c>
      <c r="AU9" s="67">
        <f>IF(X9="x",0,W9)</f>
        <v>110</v>
      </c>
      <c r="AV9" s="67">
        <f>IF(Z9="x",0,Y9)</f>
        <v>115</v>
      </c>
    </row>
    <row r="10" spans="1:48" s="37" customFormat="1" ht="15" customHeight="1">
      <c r="A10" s="128">
        <v>4</v>
      </c>
      <c r="B10" s="120" t="s">
        <v>128</v>
      </c>
      <c r="C10" s="121" t="s">
        <v>125</v>
      </c>
      <c r="D10" s="161">
        <v>34068</v>
      </c>
      <c r="E10" s="129">
        <v>4624</v>
      </c>
      <c r="F10" s="130">
        <v>65.8</v>
      </c>
      <c r="G10" s="131">
        <f>AL10</f>
        <v>1.3801</v>
      </c>
      <c r="H10" s="167">
        <v>75</v>
      </c>
      <c r="I10" s="132"/>
      <c r="J10" s="170">
        <v>80</v>
      </c>
      <c r="K10" s="132"/>
      <c r="L10" s="170">
        <v>86</v>
      </c>
      <c r="M10" s="133"/>
      <c r="N10" s="220">
        <f t="shared" si="0"/>
        <v>118.69</v>
      </c>
      <c r="O10" s="221"/>
      <c r="P10" s="167">
        <v>102</v>
      </c>
      <c r="Q10" s="132"/>
      <c r="R10" s="208"/>
      <c r="S10" s="208"/>
      <c r="T10" s="208"/>
      <c r="U10" s="208"/>
      <c r="V10" s="208"/>
      <c r="W10" s="170">
        <v>107</v>
      </c>
      <c r="X10" s="132" t="s">
        <v>148</v>
      </c>
      <c r="Y10" s="170">
        <v>107</v>
      </c>
      <c r="Z10" s="132" t="s">
        <v>148</v>
      </c>
      <c r="AA10" s="134">
        <f t="shared" si="1"/>
        <v>140.77</v>
      </c>
      <c r="AB10" s="173">
        <f t="shared" si="1"/>
        <v>188</v>
      </c>
      <c r="AC10" s="134">
        <f t="shared" si="1"/>
        <v>259.46000000000004</v>
      </c>
      <c r="AE10" s="90">
        <f>IF(D10="","",YEAR(IF(D10&gt;1900,D10,IF(D10&lt;11,D10+2000,D10+1900))))</f>
        <v>1993</v>
      </c>
      <c r="AF10" s="90">
        <f>IF(AE10="","",YEAR(W$1)-(AE10))</f>
        <v>18</v>
      </c>
      <c r="AG10" s="84">
        <f>IF(AF10=17,10,IF(AF10=16,10,IF(AF10=15,20,IF(AF10=14,20,))))</f>
        <v>0</v>
      </c>
      <c r="AH10" s="84">
        <f>IF(AF10=17,20,IF(AF10=16,20,IF(AF10=15,30,IF(AF10=14,30,))))</f>
        <v>0</v>
      </c>
      <c r="AI10" s="45"/>
      <c r="AJ10" s="91">
        <f>ROUND(F10,1)</f>
        <v>65.8</v>
      </c>
      <c r="AK10" s="62">
        <f ca="1">IF(ISBLANK(F10),"",IF(F10&gt;0,IF(AJ10&gt;mkgmin,IF(AJ10&lt;mkgmax,ROUND(10^(mwert*LOG(OFFSET(AK10,0,-1)/mkgmax)^2),4),1),mscfmax)))</f>
        <v>1.3801</v>
      </c>
      <c r="AL10" s="63">
        <f>IF(ISBLANK(F10),"",IF(C10="F",AK10+0.4,AK10))</f>
        <v>1.3801</v>
      </c>
      <c r="AM10" s="64">
        <f>IF(B10="","",IF(F10="","",IF(MAX(AQ10:AS10)&lt;0,0,ROUND(MAX(AQ10:AS10)*$AL10,2))))</f>
        <v>118.69</v>
      </c>
      <c r="AN10" s="65">
        <f>IF(B10="","",IF(F10="","",IF(MAX(AT10:AV10)&lt;0,0,ROUND(MAX(AT10:AV10)*$AL10,2))))</f>
        <v>140.77</v>
      </c>
      <c r="AO10" s="66">
        <f>IF(B10="","",IF(F10="","",MAX(AQ10:AS10)+MAX(AT10:AV10)))</f>
        <v>188</v>
      </c>
      <c r="AP10" s="65">
        <f>IF(B10="","",IF(F10="","",AM10+AN10))</f>
        <v>259.46000000000004</v>
      </c>
      <c r="AQ10" s="67">
        <f>IF(I10="x",0,H10)</f>
        <v>75</v>
      </c>
      <c r="AR10" s="67">
        <f>IF(K10="x",0,J10)</f>
        <v>80</v>
      </c>
      <c r="AS10" s="67">
        <f>IF(M10="x",0,L10)</f>
        <v>86</v>
      </c>
      <c r="AT10" s="67">
        <f>IF(Q10="x",0,P10)</f>
        <v>102</v>
      </c>
      <c r="AU10" s="67">
        <f>IF(X10="x",0,W10)</f>
        <v>0</v>
      </c>
      <c r="AV10" s="67">
        <f>IF(Z10="x",0,Y10)</f>
        <v>0</v>
      </c>
    </row>
    <row r="11" spans="1:48" s="37" customFormat="1" ht="14.25" customHeight="1" thickBot="1">
      <c r="A11" s="135">
        <v>5</v>
      </c>
      <c r="B11" s="164">
        <f>IF(E11="","",VLOOKUP(E11,'[1]Athleten 2008 (2)'!A$1:C$999,2,FALSE))</f>
      </c>
      <c r="C11" s="136">
        <f>IF(E11="","",IF(VLOOKUP(E11,'[1]Athleten 2008 (2)'!A$1:F$999,6,FALSE)="W","F",""))</f>
      </c>
      <c r="D11" s="163">
        <f>IF(E11="","",VLOOKUP(E11,'[1]Athleten 2008 (2)'!A$1:N$999,14,FALSE))</f>
      </c>
      <c r="E11" s="165"/>
      <c r="F11" s="137"/>
      <c r="G11" s="138">
        <f>AL11</f>
      </c>
      <c r="H11" s="168"/>
      <c r="I11" s="139"/>
      <c r="J11" s="171"/>
      <c r="K11" s="139"/>
      <c r="L11" s="171"/>
      <c r="M11" s="140"/>
      <c r="N11" s="229">
        <f t="shared" si="0"/>
      </c>
      <c r="O11" s="230"/>
      <c r="P11" s="168"/>
      <c r="Q11" s="139"/>
      <c r="R11" s="209"/>
      <c r="S11" s="209"/>
      <c r="T11" s="209"/>
      <c r="U11" s="209"/>
      <c r="V11" s="209"/>
      <c r="W11" s="171"/>
      <c r="X11" s="139"/>
      <c r="Y11" s="171"/>
      <c r="Z11" s="139"/>
      <c r="AA11" s="108">
        <f t="shared" si="1"/>
      </c>
      <c r="AB11" s="174">
        <f t="shared" si="1"/>
      </c>
      <c r="AC11" s="108">
        <f t="shared" si="1"/>
      </c>
      <c r="AE11" s="90">
        <f>IF(D11="","",YEAR(IF(D11&gt;1900,D11,IF(D11&lt;11,D11+2000,D11+1900))))</f>
      </c>
      <c r="AF11" s="90">
        <f>IF(AE11="","",YEAR(W$1)-(AE11))</f>
      </c>
      <c r="AG11" s="84">
        <f>IF(AF11=17,10,IF(AF11=16,10,IF(AF11=15,20,IF(AF11=14,20,))))</f>
        <v>0</v>
      </c>
      <c r="AH11" s="84">
        <f>IF(AF11=17,20,IF(AF11=16,20,IF(AF11=15,30,IF(AF11=14,30,))))</f>
        <v>0</v>
      </c>
      <c r="AI11" s="45"/>
      <c r="AJ11" s="91">
        <f>ROUND(F11,1)</f>
        <v>0</v>
      </c>
      <c r="AK11" s="62">
        <f ca="1">IF(ISBLANK(F11),"",IF(F11&gt;0,IF(AJ11&gt;mkgmin,IF(AJ11&lt;mkgmax,ROUND(10^(mwert*LOG(OFFSET(AK11,0,-1)/mkgmax)^2),4),1),mscfmax)))</f>
      </c>
      <c r="AL11" s="63">
        <f>IF(ISBLANK(F11),"",IF(C11="F",AK11+0.4,AK11))</f>
      </c>
      <c r="AM11" s="64">
        <f>IF(B11="","",IF(F11="","",IF(MAX(AQ11:AS11)&lt;0,0,ROUND(MAX(AQ11:AS11)*$AL11,2))))</f>
      </c>
      <c r="AN11" s="65">
        <f>IF(B11="","",IF(F11="","",IF(MAX(AT11:AV11)&lt;0,0,ROUND(MAX(AT11:AV11)*$AL11,2))))</f>
      </c>
      <c r="AO11" s="66">
        <f>IF(B11="","",IF(F11="","",MAX(AQ11:AS11)+MAX(AT11:AV11)))</f>
      </c>
      <c r="AP11" s="65">
        <f>IF(B11="","",IF(F11="","",AM11+AN11))</f>
      </c>
      <c r="AQ11" s="67">
        <f>IF(I11="x",0,H11)</f>
        <v>0</v>
      </c>
      <c r="AR11" s="67">
        <f>IF(K11="x",0,J11)</f>
        <v>0</v>
      </c>
      <c r="AS11" s="67">
        <f>IF(M11="x",0,L11)</f>
        <v>0</v>
      </c>
      <c r="AT11" s="67">
        <f>IF(Q11="x",0,P11)</f>
        <v>0</v>
      </c>
      <c r="AU11" s="67">
        <f>IF(X11="x",0,W11)</f>
        <v>0</v>
      </c>
      <c r="AV11" s="67">
        <f>IF(Z11="x",0,Y11)</f>
        <v>0</v>
      </c>
    </row>
    <row r="12" spans="1:51" s="37" customFormat="1" ht="15" customHeight="1">
      <c r="A12" s="141"/>
      <c r="B12" s="142" t="s">
        <v>85</v>
      </c>
      <c r="C12" s="231" t="s">
        <v>90</v>
      </c>
      <c r="D12" s="231"/>
      <c r="E12" s="231"/>
      <c r="F12" s="231"/>
      <c r="G12" s="87">
        <v>1</v>
      </c>
      <c r="H12" s="211" t="s">
        <v>25</v>
      </c>
      <c r="I12" s="212"/>
      <c r="J12" s="212"/>
      <c r="K12" s="212"/>
      <c r="L12" s="212"/>
      <c r="M12" s="232"/>
      <c r="N12" s="233">
        <f t="shared" si="0"/>
        <v>514.78</v>
      </c>
      <c r="O12" s="234"/>
      <c r="P12" s="211" t="s">
        <v>26</v>
      </c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143">
        <f>AN12</f>
        <v>647.62</v>
      </c>
      <c r="AB12" s="144" t="s">
        <v>27</v>
      </c>
      <c r="AC12" s="143">
        <f t="shared" si="1"/>
        <v>1162.4</v>
      </c>
      <c r="AE12" s="84" t="s">
        <v>96</v>
      </c>
      <c r="AF12" s="84">
        <f>G12</f>
        <v>1</v>
      </c>
      <c r="AG12" s="84"/>
      <c r="AH12" s="84"/>
      <c r="AI12" s="45"/>
      <c r="AJ12" s="85">
        <f>LARGE(AG7:AG11,1)</f>
        <v>0</v>
      </c>
      <c r="AK12" s="85">
        <f>LARGE(AH7:AH11,1)</f>
        <v>0</v>
      </c>
      <c r="AL12" s="84" t="s">
        <v>91</v>
      </c>
      <c r="AM12" s="68">
        <f>SUM(AM7:AM11)</f>
        <v>514.78</v>
      </c>
      <c r="AN12" s="65">
        <f>SUM(AN7:AN11)</f>
        <v>647.62</v>
      </c>
      <c r="AO12" s="69" t="s">
        <v>27</v>
      </c>
      <c r="AP12" s="65">
        <f>SUM(AP7:AP11)</f>
        <v>1162.4</v>
      </c>
      <c r="AQ12" s="70"/>
      <c r="AR12" s="70"/>
      <c r="AS12" s="71"/>
      <c r="AT12" s="70"/>
      <c r="AU12" s="70"/>
      <c r="AV12" s="71"/>
      <c r="AW12" s="72" t="s">
        <v>30</v>
      </c>
      <c r="AX12" s="73" t="s">
        <v>31</v>
      </c>
      <c r="AY12" s="74">
        <v>0</v>
      </c>
    </row>
    <row r="13" spans="1:50" s="37" customFormat="1" ht="15" customHeight="1">
      <c r="A13" s="141"/>
      <c r="B13" s="213" t="s">
        <v>130</v>
      </c>
      <c r="C13" s="213"/>
      <c r="D13" s="213"/>
      <c r="E13" s="213"/>
      <c r="F13" s="213"/>
      <c r="G13" s="214"/>
      <c r="H13" s="217" t="s">
        <v>89</v>
      </c>
      <c r="I13" s="218"/>
      <c r="J13" s="218"/>
      <c r="K13" s="218"/>
      <c r="L13" s="218"/>
      <c r="M13" s="219"/>
      <c r="N13" s="220">
        <f>AG13</f>
        <v>0</v>
      </c>
      <c r="O13" s="221"/>
      <c r="P13" s="222" t="s">
        <v>89</v>
      </c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134">
        <f>AH13</f>
        <v>0</v>
      </c>
      <c r="AB13" s="145" t="s">
        <v>28</v>
      </c>
      <c r="AC13" s="134">
        <f t="shared" si="1"/>
        <v>0</v>
      </c>
      <c r="AE13" s="84"/>
      <c r="AF13" s="84" t="s">
        <v>94</v>
      </c>
      <c r="AG13" s="84">
        <f>IF(G12=1,AJ12,IF(G12=2,SUM(AJ12:AJ13),IF(G12=3,SUM(AJ12:AJ14),0)))</f>
        <v>0</v>
      </c>
      <c r="AH13" s="84">
        <f>IF(G12=1,AK12,IF(G12=2,SUM(AK12:AK13),IF(G12=3,SUM(AK12:AK14),0)))</f>
        <v>0</v>
      </c>
      <c r="AI13" s="45"/>
      <c r="AJ13" s="85">
        <f>LARGE(AG7:AG11,2)</f>
        <v>0</v>
      </c>
      <c r="AK13" s="85">
        <f>LARGE(AH7:AH11,2)</f>
        <v>0</v>
      </c>
      <c r="AL13" s="84" t="s">
        <v>92</v>
      </c>
      <c r="AM13" s="77">
        <f>N13</f>
        <v>0</v>
      </c>
      <c r="AN13" s="76">
        <f>AA13</f>
        <v>0</v>
      </c>
      <c r="AO13" s="75" t="s">
        <v>28</v>
      </c>
      <c r="AP13" s="76">
        <f>SUM(AM13+AN13)</f>
        <v>0</v>
      </c>
      <c r="AQ13" s="70"/>
      <c r="AR13" s="70"/>
      <c r="AS13" s="71"/>
      <c r="AT13" s="70"/>
      <c r="AU13" s="70"/>
      <c r="AV13" s="71"/>
      <c r="AW13" s="45" t="s">
        <v>32</v>
      </c>
      <c r="AX13" s="45" t="s">
        <v>33</v>
      </c>
    </row>
    <row r="14" spans="1:50" s="37" customFormat="1" ht="14.25" customHeight="1" thickBot="1">
      <c r="A14" s="146"/>
      <c r="B14" s="215"/>
      <c r="C14" s="215"/>
      <c r="D14" s="215"/>
      <c r="E14" s="215"/>
      <c r="F14" s="215"/>
      <c r="G14" s="216"/>
      <c r="H14" s="224" t="s">
        <v>29</v>
      </c>
      <c r="I14" s="225"/>
      <c r="J14" s="225"/>
      <c r="K14" s="225"/>
      <c r="L14" s="225"/>
      <c r="M14" s="226"/>
      <c r="N14" s="227">
        <f>AM14</f>
        <v>514.78</v>
      </c>
      <c r="O14" s="228"/>
      <c r="P14" s="224" t="s">
        <v>29</v>
      </c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162">
        <f aca="true" t="shared" si="2" ref="AA14:AA20">AN14</f>
        <v>647.62</v>
      </c>
      <c r="AB14" s="148" t="s">
        <v>29</v>
      </c>
      <c r="AC14" s="162">
        <f t="shared" si="1"/>
        <v>1162.4</v>
      </c>
      <c r="AE14" s="189"/>
      <c r="AF14" s="189"/>
      <c r="AG14" s="189"/>
      <c r="AH14" s="189"/>
      <c r="AI14" s="45"/>
      <c r="AJ14" s="85">
        <f>LARGE(AG7:AG11,3)</f>
        <v>0</v>
      </c>
      <c r="AK14" s="85">
        <f>LARGE(AH7:AH11,3)</f>
        <v>0</v>
      </c>
      <c r="AL14" s="84" t="s">
        <v>93</v>
      </c>
      <c r="AM14" s="77">
        <f>AM12+AM13</f>
        <v>514.78</v>
      </c>
      <c r="AN14" s="76">
        <f>AN12+AN13</f>
        <v>647.62</v>
      </c>
      <c r="AO14" s="75" t="s">
        <v>29</v>
      </c>
      <c r="AP14" s="78">
        <f>AP12+AP13</f>
        <v>1162.4</v>
      </c>
      <c r="AQ14" s="70"/>
      <c r="AR14" s="70"/>
      <c r="AS14" s="71"/>
      <c r="AT14" s="70"/>
      <c r="AU14" s="70"/>
      <c r="AV14" s="71"/>
      <c r="AW14" s="79" t="s">
        <v>34</v>
      </c>
      <c r="AX14" s="79" t="s">
        <v>35</v>
      </c>
    </row>
    <row r="15" spans="1:50" s="37" customFormat="1" ht="15" customHeight="1">
      <c r="A15" s="119">
        <v>6</v>
      </c>
      <c r="B15" s="120" t="s">
        <v>139</v>
      </c>
      <c r="C15" s="122" t="s">
        <v>125</v>
      </c>
      <c r="D15" s="161">
        <f>IF(E15="","",VLOOKUP(E15,'[1]Athleten 2008 (2)'!A$1:N$999,14,FALSE))</f>
      </c>
      <c r="E15" s="122"/>
      <c r="F15" s="123">
        <v>97.9</v>
      </c>
      <c r="G15" s="124">
        <f>AL15</f>
        <v>1.1192</v>
      </c>
      <c r="H15" s="166">
        <v>140</v>
      </c>
      <c r="I15" s="125"/>
      <c r="J15" s="169">
        <v>144</v>
      </c>
      <c r="K15" s="125" t="s">
        <v>148</v>
      </c>
      <c r="L15" s="169">
        <v>145</v>
      </c>
      <c r="M15" s="126"/>
      <c r="N15" s="235">
        <f aca="true" t="shared" si="3" ref="N15:N20">AM15</f>
        <v>162.28</v>
      </c>
      <c r="O15" s="236"/>
      <c r="P15" s="166">
        <v>168</v>
      </c>
      <c r="Q15" s="125"/>
      <c r="R15" s="207"/>
      <c r="S15" s="207"/>
      <c r="T15" s="207"/>
      <c r="U15" s="207"/>
      <c r="V15" s="207"/>
      <c r="W15" s="169">
        <v>175</v>
      </c>
      <c r="X15" s="125"/>
      <c r="Y15" s="169">
        <v>179</v>
      </c>
      <c r="Z15" s="125" t="s">
        <v>148</v>
      </c>
      <c r="AA15" s="127">
        <f t="shared" si="2"/>
        <v>195.86</v>
      </c>
      <c r="AB15" s="172">
        <f>AO15</f>
        <v>320</v>
      </c>
      <c r="AC15" s="127">
        <f aca="true" t="shared" si="4" ref="AC15:AC22">AP15</f>
        <v>358.14</v>
      </c>
      <c r="AE15" s="90">
        <f>IF(D15="","",YEAR(IF(D15&gt;1900,D15,IF(D15&lt;11,D15+2000,D15+1900))))</f>
      </c>
      <c r="AF15" s="90">
        <f>IF(AE15="","",YEAR(W$1)-(AE15))</f>
      </c>
      <c r="AG15" s="84">
        <f>IF(AF15=17,10,IF(AF15=16,10,IF(AF15=15,20,IF(AF15=14,20,))))</f>
        <v>0</v>
      </c>
      <c r="AH15" s="84">
        <f>IF(AF15=17,20,IF(AF15=16,20,IF(AF15=15,30,IF(AF15=14,30,))))</f>
        <v>0</v>
      </c>
      <c r="AI15" s="45"/>
      <c r="AJ15" s="91">
        <f>ROUND(F15,1)</f>
        <v>97.9</v>
      </c>
      <c r="AK15" s="62">
        <f ca="1">IF(ISBLANK(F15),"",IF(F15&gt;0,IF(AJ15&gt;mkgmin,IF(AJ15&lt;mkgmax,ROUND(10^(mwert*LOG(OFFSET(AK15,0,-1)/mkgmax)^2),4),1),mscfmax)))</f>
        <v>1.1192</v>
      </c>
      <c r="AL15" s="63">
        <f>IF(ISBLANK(F15),"",IF(C15="F",AK15+0.4,AK15))</f>
        <v>1.1192</v>
      </c>
      <c r="AM15" s="64">
        <f>IF(B15="","",IF(F15="","",IF(MAX(AQ15:AS15)&lt;0,0,ROUND(MAX(AQ15:AS15)*$AL15,2))))</f>
        <v>162.28</v>
      </c>
      <c r="AN15" s="65">
        <f>IF(B15="","",IF(F15="","",IF(MAX(AT15:AV15)&lt;0,0,ROUND(MAX(AT15:AV15)*$AL15,2))))</f>
        <v>195.86</v>
      </c>
      <c r="AO15" s="66">
        <f>IF(B15="","",IF(F15="","",MAX(AQ15:AS15)+MAX(AT15:AV15)))</f>
        <v>320</v>
      </c>
      <c r="AP15" s="65">
        <f>IF(B15="","",IF(F15="","",AM15+AN15))</f>
        <v>358.14</v>
      </c>
      <c r="AQ15" s="67">
        <f>IF(I15="x",0,H15)</f>
        <v>140</v>
      </c>
      <c r="AR15" s="67">
        <f>IF(K15="x",0,J15)</f>
        <v>0</v>
      </c>
      <c r="AS15" s="67">
        <f>IF(M15="x",0,L15)</f>
        <v>145</v>
      </c>
      <c r="AT15" s="67">
        <f>IF(Q15="x",0,P15)</f>
        <v>168</v>
      </c>
      <c r="AU15" s="67">
        <f>IF(X15="x",0,W15)</f>
        <v>175</v>
      </c>
      <c r="AV15" s="67">
        <f>IF(Z15="x",0,Y15)</f>
        <v>0</v>
      </c>
      <c r="AW15" s="79" t="s">
        <v>37</v>
      </c>
      <c r="AX15" s="79" t="s">
        <v>38</v>
      </c>
    </row>
    <row r="16" spans="1:50" s="37" customFormat="1" ht="15" customHeight="1">
      <c r="A16" s="128">
        <v>7</v>
      </c>
      <c r="B16" s="120" t="s">
        <v>140</v>
      </c>
      <c r="C16" s="122" t="s">
        <v>125</v>
      </c>
      <c r="D16" s="161">
        <f>IF(E16="","",VLOOKUP(E16,'[1]Athleten 2008 (2)'!A$1:N$999,14,FALSE))</f>
      </c>
      <c r="E16" s="129"/>
      <c r="F16" s="129">
        <v>68.3</v>
      </c>
      <c r="G16" s="131">
        <f>AL16</f>
        <v>1.347</v>
      </c>
      <c r="H16" s="167">
        <v>90</v>
      </c>
      <c r="I16" s="132"/>
      <c r="J16" s="170">
        <v>95</v>
      </c>
      <c r="K16" s="132"/>
      <c r="L16" s="170">
        <v>98</v>
      </c>
      <c r="M16" s="133" t="s">
        <v>148</v>
      </c>
      <c r="N16" s="220">
        <f t="shared" si="3"/>
        <v>127.97</v>
      </c>
      <c r="O16" s="221"/>
      <c r="P16" s="167">
        <v>105</v>
      </c>
      <c r="Q16" s="132" t="s">
        <v>148</v>
      </c>
      <c r="R16" s="208"/>
      <c r="S16" s="208"/>
      <c r="T16" s="208"/>
      <c r="U16" s="208"/>
      <c r="V16" s="208"/>
      <c r="W16" s="170">
        <v>105</v>
      </c>
      <c r="X16" s="132"/>
      <c r="Y16" s="170">
        <v>108</v>
      </c>
      <c r="Z16" s="132"/>
      <c r="AA16" s="134">
        <f t="shared" si="2"/>
        <v>145.48</v>
      </c>
      <c r="AB16" s="173">
        <f>AO16</f>
        <v>203</v>
      </c>
      <c r="AC16" s="134">
        <f t="shared" si="4"/>
        <v>273.45</v>
      </c>
      <c r="AE16" s="90">
        <f>IF(D16="","",YEAR(IF(D16&gt;1900,D16,IF(D16&lt;11,D16+2000,D16+1900))))</f>
      </c>
      <c r="AF16" s="90">
        <f>IF(AE16="","",YEAR(W$1)-(AE16))</f>
      </c>
      <c r="AG16" s="84">
        <f>IF(AF16=17,10,IF(AF16=16,10,IF(AF16=15,20,IF(AF16=14,20,))))</f>
        <v>0</v>
      </c>
      <c r="AH16" s="84">
        <f>IF(AF16=17,20,IF(AF16=16,20,IF(AF16=15,30,IF(AF16=14,30,))))</f>
        <v>0</v>
      </c>
      <c r="AI16" s="45"/>
      <c r="AJ16" s="91">
        <f>ROUND(F16,1)</f>
        <v>68.3</v>
      </c>
      <c r="AK16" s="62">
        <f ca="1">IF(ISBLANK(F16),"",IF(F16&gt;0,IF(AJ16&gt;mkgmin,IF(AJ16&lt;mkgmax,ROUND(10^(mwert*LOG(OFFSET(AK16,0,-1)/mkgmax)^2),4),1),mscfmax)))</f>
        <v>1.347</v>
      </c>
      <c r="AL16" s="63">
        <f>IF(ISBLANK(F16),"",IF(C16="F",AK16+0.4,AK16))</f>
        <v>1.347</v>
      </c>
      <c r="AM16" s="64">
        <f>IF(B16="","",IF(F16="","",IF(MAX(AQ16:AS16)&lt;0,0,ROUND(MAX(AQ16:AS16)*$AL16,2))))</f>
        <v>127.97</v>
      </c>
      <c r="AN16" s="65">
        <f>IF(B16="","",IF(F16="","",IF(MAX(AT16:AV16)&lt;0,0,ROUND(MAX(AT16:AV16)*$AL16,2))))</f>
        <v>145.48</v>
      </c>
      <c r="AO16" s="66">
        <f>IF(B16="","",IF(F16="","",MAX(AQ16:AS16)+MAX(AT16:AV16)))</f>
        <v>203</v>
      </c>
      <c r="AP16" s="65">
        <f>IF(B16="","",IF(F16="","",AM16+AN16))</f>
        <v>273.45</v>
      </c>
      <c r="AQ16" s="67">
        <f>IF(I16="x",0,H16)</f>
        <v>90</v>
      </c>
      <c r="AR16" s="67">
        <f>IF(K16="x",0,J16)</f>
        <v>95</v>
      </c>
      <c r="AS16" s="67">
        <f>IF(M16="x",0,L16)</f>
        <v>0</v>
      </c>
      <c r="AT16" s="67">
        <f>IF(Q16="x",0,P16)</f>
        <v>0</v>
      </c>
      <c r="AU16" s="67">
        <f>IF(X16="x",0,W16)</f>
        <v>105</v>
      </c>
      <c r="AV16" s="67">
        <f>IF(Z16="x",0,Y16)</f>
        <v>108</v>
      </c>
      <c r="AW16" s="79" t="s">
        <v>39</v>
      </c>
      <c r="AX16" s="79" t="s">
        <v>40</v>
      </c>
    </row>
    <row r="17" spans="1:50" s="37" customFormat="1" ht="15" customHeight="1">
      <c r="A17" s="128">
        <v>8</v>
      </c>
      <c r="B17" s="120" t="s">
        <v>141</v>
      </c>
      <c r="C17" s="122" t="s">
        <v>125</v>
      </c>
      <c r="D17" s="161">
        <f>IF(E17="","",VLOOKUP(E17,'[1]Athleten 2008 (2)'!A$1:N$999,14,FALSE))</f>
      </c>
      <c r="E17" s="129"/>
      <c r="F17" s="129">
        <v>87</v>
      </c>
      <c r="G17" s="131">
        <f>AL17</f>
        <v>1.1778</v>
      </c>
      <c r="H17" s="167">
        <v>122</v>
      </c>
      <c r="I17" s="132"/>
      <c r="J17" s="170">
        <v>127</v>
      </c>
      <c r="K17" s="132"/>
      <c r="L17" s="170">
        <v>131</v>
      </c>
      <c r="M17" s="133"/>
      <c r="N17" s="220">
        <f t="shared" si="3"/>
        <v>154.29</v>
      </c>
      <c r="O17" s="221"/>
      <c r="P17" s="167">
        <v>154</v>
      </c>
      <c r="Q17" s="132"/>
      <c r="R17" s="208"/>
      <c r="S17" s="208"/>
      <c r="T17" s="208"/>
      <c r="U17" s="208"/>
      <c r="V17" s="208"/>
      <c r="W17" s="170">
        <v>161</v>
      </c>
      <c r="X17" s="132"/>
      <c r="Y17" s="170">
        <v>167</v>
      </c>
      <c r="Z17" s="132"/>
      <c r="AA17" s="134">
        <f t="shared" si="2"/>
        <v>196.69</v>
      </c>
      <c r="AB17" s="173">
        <f>AO17</f>
        <v>298</v>
      </c>
      <c r="AC17" s="134">
        <f t="shared" si="4"/>
        <v>350.98</v>
      </c>
      <c r="AE17" s="90">
        <f>IF(D17="","",YEAR(IF(D17&gt;1900,D17,IF(D17&lt;11,D17+2000,D17+1900))))</f>
      </c>
      <c r="AF17" s="90">
        <f>IF(AE17="","",YEAR(W$1)-(AE17))</f>
      </c>
      <c r="AG17" s="84">
        <f>IF(AF17=17,10,IF(AF17=16,10,IF(AF17=15,20,IF(AF17=14,20,))))</f>
        <v>0</v>
      </c>
      <c r="AH17" s="84">
        <f>IF(AF17=17,20,IF(AF17=16,20,IF(AF17=15,30,IF(AF17=14,30,))))</f>
        <v>0</v>
      </c>
      <c r="AI17" s="45"/>
      <c r="AJ17" s="91">
        <f>ROUND(F17,1)</f>
        <v>87</v>
      </c>
      <c r="AK17" s="62">
        <f ca="1">IF(ISBLANK(F17),"",IF(F17&gt;0,IF(AJ17&gt;mkgmin,IF(AJ17&lt;mkgmax,ROUND(10^(mwert*LOG(OFFSET(AK17,0,-1)/mkgmax)^2),4),1),mscfmax)))</f>
        <v>1.1778</v>
      </c>
      <c r="AL17" s="63">
        <f>IF(ISBLANK(F17),"",IF(C17="F",AK17+0.4,AK17))</f>
        <v>1.1778</v>
      </c>
      <c r="AM17" s="64">
        <f>IF(B17="","",IF(F17="","",IF(MAX(AQ17:AS17)&lt;0,0,ROUND(MAX(AQ17:AS17)*$AL17,2))))</f>
        <v>154.29</v>
      </c>
      <c r="AN17" s="65">
        <f>IF(B17="","",IF(F17="","",IF(MAX(AT17:AV17)&lt;0,0,ROUND(MAX(AT17:AV17)*$AL17,2))))</f>
        <v>196.69</v>
      </c>
      <c r="AO17" s="66">
        <f>IF(B17="","",IF(F17="","",MAX(AQ17:AS17)+MAX(AT17:AV17)))</f>
        <v>298</v>
      </c>
      <c r="AP17" s="65">
        <f>IF(B17="","",IF(F17="","",AM17+AN17))</f>
        <v>350.98</v>
      </c>
      <c r="AQ17" s="67">
        <f>IF(I17="x",0,H17)</f>
        <v>122</v>
      </c>
      <c r="AR17" s="67">
        <f>IF(K17="x",0,J17)</f>
        <v>127</v>
      </c>
      <c r="AS17" s="67">
        <f>IF(M17="x",0,L17)</f>
        <v>131</v>
      </c>
      <c r="AT17" s="67">
        <f>IF(Q17="x",0,P17)</f>
        <v>154</v>
      </c>
      <c r="AU17" s="67">
        <f>IF(X17="x",0,W17)</f>
        <v>161</v>
      </c>
      <c r="AV17" s="67">
        <f>IF(Z17="x",0,Y17)</f>
        <v>167</v>
      </c>
      <c r="AW17" s="79" t="s">
        <v>41</v>
      </c>
      <c r="AX17" s="79" t="s">
        <v>42</v>
      </c>
    </row>
    <row r="18" spans="1:50" s="37" customFormat="1" ht="15" customHeight="1">
      <c r="A18" s="128">
        <v>9</v>
      </c>
      <c r="B18" s="120" t="s">
        <v>142</v>
      </c>
      <c r="C18" s="122" t="s">
        <v>125</v>
      </c>
      <c r="D18" s="161">
        <f>IF(E18="","",VLOOKUP(E18,'[1]Athleten 2008 (2)'!A$1:N$999,14,FALSE))</f>
      </c>
      <c r="E18" s="129"/>
      <c r="F18" s="129">
        <v>85.3</v>
      </c>
      <c r="G18" s="131">
        <f>AL18</f>
        <v>1.189</v>
      </c>
      <c r="H18" s="167">
        <v>110</v>
      </c>
      <c r="I18" s="132"/>
      <c r="J18" s="170">
        <v>117</v>
      </c>
      <c r="K18" s="132" t="s">
        <v>148</v>
      </c>
      <c r="L18" s="170">
        <v>117</v>
      </c>
      <c r="M18" s="133"/>
      <c r="N18" s="220">
        <f t="shared" si="3"/>
        <v>139.11</v>
      </c>
      <c r="O18" s="221"/>
      <c r="P18" s="167">
        <v>145</v>
      </c>
      <c r="Q18" s="132"/>
      <c r="R18" s="208"/>
      <c r="S18" s="208"/>
      <c r="T18" s="208"/>
      <c r="U18" s="208"/>
      <c r="V18" s="208"/>
      <c r="W18" s="170">
        <v>152</v>
      </c>
      <c r="X18" s="132"/>
      <c r="Y18" s="170">
        <v>155</v>
      </c>
      <c r="Z18" s="132" t="s">
        <v>148</v>
      </c>
      <c r="AA18" s="134">
        <f t="shared" si="2"/>
        <v>180.73</v>
      </c>
      <c r="AB18" s="173">
        <f>AO18</f>
        <v>269</v>
      </c>
      <c r="AC18" s="134">
        <f t="shared" si="4"/>
        <v>319.84000000000003</v>
      </c>
      <c r="AE18" s="90">
        <f>IF(D18="","",YEAR(IF(D18&gt;1900,D18,IF(D18&lt;11,D18+2000,D18+1900))))</f>
      </c>
      <c r="AF18" s="90">
        <f>IF(AE18="","",YEAR(W$1)-(AE18))</f>
      </c>
      <c r="AG18" s="84">
        <f>IF(AF18=17,10,IF(AF18=16,10,IF(AF18=15,20,IF(AF18=14,20,))))</f>
        <v>0</v>
      </c>
      <c r="AH18" s="84">
        <f>IF(AF18=17,20,IF(AF18=16,20,IF(AF18=15,30,IF(AF18=14,30,))))</f>
        <v>0</v>
      </c>
      <c r="AI18" s="45"/>
      <c r="AJ18" s="91">
        <f>ROUND(F18,1)</f>
        <v>85.3</v>
      </c>
      <c r="AK18" s="62">
        <f ca="1">IF(ISBLANK(F18),"",IF(F18&gt;0,IF(AJ18&gt;mkgmin,IF(AJ18&lt;mkgmax,ROUND(10^(mwert*LOG(OFFSET(AK18,0,-1)/mkgmax)^2),4),1),mscfmax)))</f>
        <v>1.189</v>
      </c>
      <c r="AL18" s="63">
        <f>IF(ISBLANK(F18),"",IF(C18="F",AK18+0.4,AK18))</f>
        <v>1.189</v>
      </c>
      <c r="AM18" s="64">
        <f>IF(B18="","",IF(F18="","",IF(MAX(AQ18:AS18)&lt;0,0,ROUND(MAX(AQ18:AS18)*$AL18,2))))</f>
        <v>139.11</v>
      </c>
      <c r="AN18" s="65">
        <f>IF(B18="","",IF(F18="","",IF(MAX(AT18:AV18)&lt;0,0,ROUND(MAX(AT18:AV18)*$AL18,2))))</f>
        <v>180.73</v>
      </c>
      <c r="AO18" s="66">
        <f>IF(B18="","",IF(F18="","",MAX(AQ18:AS18)+MAX(AT18:AV18)))</f>
        <v>269</v>
      </c>
      <c r="AP18" s="65">
        <f>IF(B18="","",IF(F18="","",AM18+AN18))</f>
        <v>319.84000000000003</v>
      </c>
      <c r="AQ18" s="67">
        <f>IF(I18="x",0,H18)</f>
        <v>110</v>
      </c>
      <c r="AR18" s="67">
        <f>IF(K18="x",0,J18)</f>
        <v>0</v>
      </c>
      <c r="AS18" s="67">
        <f>IF(M18="x",0,L18)</f>
        <v>117</v>
      </c>
      <c r="AT18" s="67">
        <f>IF(Q18="x",0,P18)</f>
        <v>145</v>
      </c>
      <c r="AU18" s="67">
        <f>IF(X18="x",0,W18)</f>
        <v>152</v>
      </c>
      <c r="AV18" s="67">
        <f>IF(Z18="x",0,Y18)</f>
        <v>0</v>
      </c>
      <c r="AW18" s="79" t="s">
        <v>43</v>
      </c>
      <c r="AX18" s="79" t="s">
        <v>44</v>
      </c>
    </row>
    <row r="19" spans="1:50" s="37" customFormat="1" ht="15" customHeight="1" thickBot="1">
      <c r="A19" s="135">
        <v>10</v>
      </c>
      <c r="B19" s="164">
        <f>IF(E19="","",VLOOKUP(E19,'[1]Athleten 2008 (2)'!A$1:C$999,2,FALSE))</f>
      </c>
      <c r="C19" s="165">
        <f>IF(E19="","",IF(VLOOKUP(E19,'[1]Athleten 2008 (2)'!A$1:F$999,6,FALSE)="W","F",""))</f>
      </c>
      <c r="D19" s="163">
        <f>IF(E19="","",VLOOKUP(E19,'[1]Athleten 2008 (2)'!A$1:N$999,14,FALSE))</f>
      </c>
      <c r="E19" s="165"/>
      <c r="F19" s="137"/>
      <c r="G19" s="138">
        <f>AL19</f>
      </c>
      <c r="H19" s="168"/>
      <c r="I19" s="139"/>
      <c r="J19" s="171"/>
      <c r="K19" s="139"/>
      <c r="L19" s="171"/>
      <c r="M19" s="140"/>
      <c r="N19" s="229">
        <f t="shared" si="3"/>
      </c>
      <c r="O19" s="230"/>
      <c r="P19" s="168"/>
      <c r="Q19" s="139"/>
      <c r="R19" s="209"/>
      <c r="S19" s="209"/>
      <c r="T19" s="209"/>
      <c r="U19" s="209"/>
      <c r="V19" s="209"/>
      <c r="W19" s="171"/>
      <c r="X19" s="139"/>
      <c r="Y19" s="171"/>
      <c r="Z19" s="139"/>
      <c r="AA19" s="108">
        <f t="shared" si="2"/>
      </c>
      <c r="AB19" s="174">
        <f>AO19</f>
      </c>
      <c r="AC19" s="108">
        <f t="shared" si="4"/>
      </c>
      <c r="AE19" s="90">
        <f>IF(D19="","",YEAR(IF(D19&gt;1900,D19,IF(D19&lt;11,D19+2000,D19+1900))))</f>
      </c>
      <c r="AF19" s="90">
        <f>IF(AE19="","",YEAR(W$1)-(AE19))</f>
      </c>
      <c r="AG19" s="84">
        <f>IF(AF19=17,10,IF(AF19=16,10,IF(AF19=15,20,IF(AF19=14,20,))))</f>
        <v>0</v>
      </c>
      <c r="AH19" s="84">
        <f>IF(AF19=17,20,IF(AF19=16,20,IF(AF19=15,30,IF(AF19=14,30,))))</f>
        <v>0</v>
      </c>
      <c r="AI19" s="45"/>
      <c r="AJ19" s="91">
        <f>ROUND(F19,1)</f>
        <v>0</v>
      </c>
      <c r="AK19" s="62">
        <f ca="1">IF(ISBLANK(F19),"",IF(F19&gt;0,IF(AJ19&gt;mkgmin,IF(AJ19&lt;mkgmax,ROUND(10^(mwert*LOG(OFFSET(AK19,0,-1)/mkgmax)^2),4),1),mscfmax)))</f>
      </c>
      <c r="AL19" s="63">
        <f>IF(ISBLANK(F19),"",IF(C19="F",AK19+0.4,AK19))</f>
      </c>
      <c r="AM19" s="64">
        <f>IF(B19="","",IF(F19="","",IF(MAX(AQ19:AS19)&lt;0,0,ROUND(MAX(AQ19:AS19)*$AL19,2))))</f>
      </c>
      <c r="AN19" s="65">
        <f>IF(B19="","",IF(F19="","",IF(MAX(AT19:AV19)&lt;0,0,ROUND(MAX(AT19:AV19)*$AL19,2))))</f>
      </c>
      <c r="AO19" s="66">
        <f>IF(B19="","",IF(F19="","",MAX(AQ19:AS19)+MAX(AT19:AV19)))</f>
      </c>
      <c r="AP19" s="65">
        <f>IF(B19="","",IF(F19="","",AM19+AN19))</f>
      </c>
      <c r="AQ19" s="67">
        <f>IF(I19="x",0,H19)</f>
        <v>0</v>
      </c>
      <c r="AR19" s="67">
        <f>IF(K19="x",0,J19)</f>
        <v>0</v>
      </c>
      <c r="AS19" s="67">
        <f>IF(M19="x",0,L19)</f>
        <v>0</v>
      </c>
      <c r="AT19" s="67">
        <f>IF(Q19="x",0,P19)</f>
        <v>0</v>
      </c>
      <c r="AU19" s="67">
        <f>IF(X19="x",0,W19)</f>
        <v>0</v>
      </c>
      <c r="AV19" s="67">
        <f>IF(Z19="x",0,Y19)</f>
        <v>0</v>
      </c>
      <c r="AW19" s="79" t="s">
        <v>45</v>
      </c>
      <c r="AX19" s="79" t="s">
        <v>46</v>
      </c>
    </row>
    <row r="20" spans="1:44" s="37" customFormat="1" ht="15" customHeight="1">
      <c r="A20" s="149"/>
      <c r="B20" s="142" t="s">
        <v>123</v>
      </c>
      <c r="C20" s="231" t="s">
        <v>90</v>
      </c>
      <c r="D20" s="231"/>
      <c r="E20" s="231"/>
      <c r="F20" s="231"/>
      <c r="G20" s="188">
        <f>G12</f>
        <v>1</v>
      </c>
      <c r="H20" s="211" t="s">
        <v>25</v>
      </c>
      <c r="I20" s="212"/>
      <c r="J20" s="212"/>
      <c r="K20" s="212"/>
      <c r="L20" s="212"/>
      <c r="M20" s="232"/>
      <c r="N20" s="233">
        <f t="shared" si="3"/>
        <v>583.65</v>
      </c>
      <c r="O20" s="234"/>
      <c r="P20" s="211" t="s">
        <v>26</v>
      </c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143">
        <f t="shared" si="2"/>
        <v>718.76</v>
      </c>
      <c r="AB20" s="144" t="s">
        <v>27</v>
      </c>
      <c r="AC20" s="143">
        <f t="shared" si="4"/>
        <v>1302.4099999999999</v>
      </c>
      <c r="AE20" s="84" t="s">
        <v>96</v>
      </c>
      <c r="AF20" s="84">
        <f>G20</f>
        <v>1</v>
      </c>
      <c r="AG20" s="84"/>
      <c r="AH20" s="84"/>
      <c r="AI20" s="45"/>
      <c r="AJ20" s="85">
        <f>LARGE(AG15:AG19,1)</f>
        <v>0</v>
      </c>
      <c r="AK20" s="85">
        <f>LARGE(AH15:AH19,1)</f>
        <v>0</v>
      </c>
      <c r="AL20" s="84" t="s">
        <v>91</v>
      </c>
      <c r="AM20" s="68">
        <f>SUM(AM15:AM19)</f>
        <v>583.65</v>
      </c>
      <c r="AN20" s="65">
        <f>SUM(AN15:AN19)</f>
        <v>718.76</v>
      </c>
      <c r="AO20" s="69" t="s">
        <v>27</v>
      </c>
      <c r="AP20" s="65">
        <f>SUM(AP15:AP19)</f>
        <v>1302.4099999999999</v>
      </c>
      <c r="AR20" s="46"/>
    </row>
    <row r="21" spans="1:42" s="37" customFormat="1" ht="15" customHeight="1">
      <c r="A21" s="149"/>
      <c r="B21" s="213" t="s">
        <v>137</v>
      </c>
      <c r="C21" s="213"/>
      <c r="D21" s="213"/>
      <c r="E21" s="213"/>
      <c r="F21" s="213"/>
      <c r="G21" s="214"/>
      <c r="H21" s="217" t="s">
        <v>89</v>
      </c>
      <c r="I21" s="218"/>
      <c r="J21" s="218"/>
      <c r="K21" s="218"/>
      <c r="L21" s="218"/>
      <c r="M21" s="219"/>
      <c r="N21" s="220">
        <f>AG21</f>
        <v>0</v>
      </c>
      <c r="O21" s="221"/>
      <c r="P21" s="222" t="s">
        <v>89</v>
      </c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134">
        <f>AH21</f>
        <v>0</v>
      </c>
      <c r="AB21" s="145" t="s">
        <v>28</v>
      </c>
      <c r="AC21" s="134">
        <f t="shared" si="4"/>
        <v>0</v>
      </c>
      <c r="AE21" s="84"/>
      <c r="AF21" s="84" t="s">
        <v>94</v>
      </c>
      <c r="AG21" s="84">
        <f>IF(G20=1,AJ20,IF(G20=2,SUM(AJ20:AJ21),IF(G20=3,SUM(AJ20:AJ22),0)))</f>
        <v>0</v>
      </c>
      <c r="AH21" s="84">
        <f>IF(G20=1,AK20,IF(G20=2,SUM(AK20:AK21),IF(G20=3,SUM(AK20:AK22),0)))</f>
        <v>0</v>
      </c>
      <c r="AI21" s="45"/>
      <c r="AJ21" s="85">
        <f>LARGE(AG15:AG19,2)</f>
        <v>0</v>
      </c>
      <c r="AK21" s="85">
        <f>LARGE(AH15:AH19,2)</f>
        <v>0</v>
      </c>
      <c r="AL21" s="84" t="s">
        <v>92</v>
      </c>
      <c r="AM21" s="77">
        <f>N21</f>
        <v>0</v>
      </c>
      <c r="AN21" s="76">
        <f>AA21</f>
        <v>0</v>
      </c>
      <c r="AO21" s="75" t="s">
        <v>28</v>
      </c>
      <c r="AP21" s="76">
        <f>SUM(AM21+AN21)</f>
        <v>0</v>
      </c>
    </row>
    <row r="22" spans="1:45" s="37" customFormat="1" ht="14.25" customHeight="1" thickBot="1">
      <c r="A22" s="150"/>
      <c r="B22" s="215"/>
      <c r="C22" s="215"/>
      <c r="D22" s="215"/>
      <c r="E22" s="215"/>
      <c r="F22" s="215"/>
      <c r="G22" s="216"/>
      <c r="H22" s="224" t="s">
        <v>29</v>
      </c>
      <c r="I22" s="225"/>
      <c r="J22" s="225"/>
      <c r="K22" s="225"/>
      <c r="L22" s="225"/>
      <c r="M22" s="226"/>
      <c r="N22" s="227">
        <f>AM22</f>
        <v>583.65</v>
      </c>
      <c r="O22" s="228"/>
      <c r="P22" s="224" t="s">
        <v>29</v>
      </c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162">
        <f aca="true" t="shared" si="5" ref="AA22:AA28">AN22</f>
        <v>718.76</v>
      </c>
      <c r="AB22" s="148" t="s">
        <v>29</v>
      </c>
      <c r="AC22" s="162">
        <f t="shared" si="4"/>
        <v>1302.4099999999999</v>
      </c>
      <c r="AE22" s="45"/>
      <c r="AF22" s="45"/>
      <c r="AG22" s="45"/>
      <c r="AH22" s="45"/>
      <c r="AI22" s="45"/>
      <c r="AJ22" s="85">
        <f>LARGE(AG15:AG19,3)</f>
        <v>0</v>
      </c>
      <c r="AK22" s="85">
        <f>LARGE(AH15:AH19,3)</f>
        <v>0</v>
      </c>
      <c r="AL22" s="84" t="s">
        <v>93</v>
      </c>
      <c r="AM22" s="77">
        <f>AM20+AM21</f>
        <v>583.65</v>
      </c>
      <c r="AN22" s="76">
        <f>AN20+AN21</f>
        <v>718.76</v>
      </c>
      <c r="AO22" s="75" t="s">
        <v>29</v>
      </c>
      <c r="AP22" s="78">
        <f>AP20+AP21</f>
        <v>1302.4099999999999</v>
      </c>
      <c r="AR22" s="46"/>
      <c r="AS22" s="46"/>
    </row>
    <row r="23" spans="1:50" s="37" customFormat="1" ht="15" customHeight="1">
      <c r="A23" s="119">
        <v>11</v>
      </c>
      <c r="B23" s="120" t="s">
        <v>143</v>
      </c>
      <c r="C23" s="151" t="s">
        <v>125</v>
      </c>
      <c r="D23" s="161">
        <f>IF(E23="","",VLOOKUP(E23,'[1]Athleten 2008 (2)'!A$1:N$999,14,FALSE))</f>
      </c>
      <c r="E23" s="122"/>
      <c r="F23" s="122">
        <v>80.8</v>
      </c>
      <c r="G23" s="124">
        <f>AL23</f>
        <v>1.2219</v>
      </c>
      <c r="H23" s="166">
        <v>108</v>
      </c>
      <c r="I23" s="125"/>
      <c r="J23" s="169">
        <v>112</v>
      </c>
      <c r="K23" s="125" t="s">
        <v>148</v>
      </c>
      <c r="L23" s="169">
        <v>115</v>
      </c>
      <c r="M23" s="126"/>
      <c r="N23" s="235">
        <f aca="true" t="shared" si="6" ref="N23:N28">AM23</f>
        <v>140.52</v>
      </c>
      <c r="O23" s="236"/>
      <c r="P23" s="166">
        <v>135</v>
      </c>
      <c r="Q23" s="125"/>
      <c r="R23" s="207"/>
      <c r="S23" s="207"/>
      <c r="T23" s="207"/>
      <c r="U23" s="207"/>
      <c r="V23" s="207"/>
      <c r="W23" s="169">
        <v>140</v>
      </c>
      <c r="X23" s="125"/>
      <c r="Y23" s="169">
        <v>145</v>
      </c>
      <c r="Z23" s="125" t="s">
        <v>148</v>
      </c>
      <c r="AA23" s="127">
        <f t="shared" si="5"/>
        <v>171.07</v>
      </c>
      <c r="AB23" s="172">
        <f>AO23</f>
        <v>255</v>
      </c>
      <c r="AC23" s="127">
        <f aca="true" t="shared" si="7" ref="AC23:AC30">AP23</f>
        <v>311.59000000000003</v>
      </c>
      <c r="AE23" s="90">
        <f>IF(D23="","",YEAR(IF(D23&gt;1900,D23,IF(D23&lt;11,D23+2000,D23+1900))))</f>
      </c>
      <c r="AF23" s="90">
        <f>IF(AE23="","",YEAR(W$1)-(AE23))</f>
      </c>
      <c r="AG23" s="84">
        <f>IF(AF23=17,10,IF(AF23=16,10,IF(AF23=15,20,IF(AF23=14,20,))))</f>
        <v>0</v>
      </c>
      <c r="AH23" s="84">
        <f>IF(AF23=17,20,IF(AF23=16,20,IF(AF23=15,30,IF(AF23=14,30,))))</f>
        <v>0</v>
      </c>
      <c r="AI23" s="45"/>
      <c r="AJ23" s="91">
        <f>ROUND(F23,1)</f>
        <v>80.8</v>
      </c>
      <c r="AK23" s="62">
        <f ca="1">IF(ISBLANK(F23),"",IF(F23&gt;0,IF(AJ23&gt;mkgmin,IF(AJ23&lt;mkgmax,ROUND(10^(mwert*LOG(OFFSET(AK23,0,-1)/mkgmax)^2),4),1),mscfmax)))</f>
        <v>1.2219</v>
      </c>
      <c r="AL23" s="63">
        <f>IF(ISBLANK(F23),"",IF(C23="F",AK23+0.4,AK23))</f>
        <v>1.2219</v>
      </c>
      <c r="AM23" s="64">
        <f>IF(B23="","",IF(F23="","",IF(MAX(AQ23:AS23)&lt;0,0,ROUND(MAX(AQ23:AS23)*$AL23,2))))</f>
        <v>140.52</v>
      </c>
      <c r="AN23" s="65">
        <f>IF(B23="","",IF(F23="","",IF(MAX(AT23:AV23)&lt;0,0,ROUND(MAX(AT23:AV23)*$AL23,2))))</f>
        <v>171.07</v>
      </c>
      <c r="AO23" s="66">
        <f>IF(B23="","",IF(F23="","",MAX(AQ23:AS23)+MAX(AT23:AV23)))</f>
        <v>255</v>
      </c>
      <c r="AP23" s="65">
        <f>IF(B23="","",IF(F23="","",AM23+AN23))</f>
        <v>311.59000000000003</v>
      </c>
      <c r="AQ23" s="67">
        <f>IF(I23="x",0,H23)</f>
        <v>108</v>
      </c>
      <c r="AR23" s="67">
        <f>IF(K23="x",0,J23)</f>
        <v>0</v>
      </c>
      <c r="AS23" s="67">
        <f>IF(M23="x",0,L23)</f>
        <v>115</v>
      </c>
      <c r="AT23" s="67">
        <f>IF(Q23="x",0,P23)</f>
        <v>135</v>
      </c>
      <c r="AU23" s="67">
        <f>IF(X23="x",0,W23)</f>
        <v>140</v>
      </c>
      <c r="AV23" s="67">
        <f>IF(Z23="x",0,Y23)</f>
        <v>0</v>
      </c>
      <c r="AW23" s="79" t="s">
        <v>37</v>
      </c>
      <c r="AX23" s="79" t="s">
        <v>38</v>
      </c>
    </row>
    <row r="24" spans="1:50" s="37" customFormat="1" ht="15" customHeight="1">
      <c r="A24" s="128">
        <v>12</v>
      </c>
      <c r="B24" s="120" t="s">
        <v>149</v>
      </c>
      <c r="C24" s="151" t="s">
        <v>125</v>
      </c>
      <c r="D24" s="161">
        <f>IF(E24="","",VLOOKUP(E24,'[1]Athleten 2008 (2)'!A$1:N$999,14,FALSE))</f>
      </c>
      <c r="E24" s="129"/>
      <c r="F24" s="129">
        <v>89.7</v>
      </c>
      <c r="G24" s="131">
        <f>AL24</f>
        <v>1.1613</v>
      </c>
      <c r="H24" s="167">
        <v>112</v>
      </c>
      <c r="I24" s="132"/>
      <c r="J24" s="170">
        <v>117</v>
      </c>
      <c r="K24" s="132"/>
      <c r="L24" s="170">
        <v>122</v>
      </c>
      <c r="M24" s="133" t="s">
        <v>148</v>
      </c>
      <c r="N24" s="220">
        <f t="shared" si="6"/>
        <v>135.87</v>
      </c>
      <c r="O24" s="221"/>
      <c r="P24" s="167">
        <v>145</v>
      </c>
      <c r="Q24" s="132"/>
      <c r="R24" s="208"/>
      <c r="S24" s="208"/>
      <c r="T24" s="208"/>
      <c r="U24" s="208"/>
      <c r="V24" s="208"/>
      <c r="W24" s="170">
        <v>152</v>
      </c>
      <c r="X24" s="132"/>
      <c r="Y24" s="170">
        <v>155</v>
      </c>
      <c r="Z24" s="132"/>
      <c r="AA24" s="134">
        <f t="shared" si="5"/>
        <v>180</v>
      </c>
      <c r="AB24" s="173">
        <f>AO24</f>
        <v>272</v>
      </c>
      <c r="AC24" s="134">
        <f t="shared" si="7"/>
        <v>315.87</v>
      </c>
      <c r="AE24" s="90">
        <f>IF(D24="","",YEAR(IF(D24&gt;1900,D24,IF(D24&lt;11,D24+2000,D24+1900))))</f>
      </c>
      <c r="AF24" s="90">
        <f>IF(AE24="","",YEAR(W$1)-(AE24))</f>
      </c>
      <c r="AG24" s="84">
        <f>IF(AF24=17,10,IF(AF24=16,10,IF(AF24=15,20,IF(AF24=14,20,))))</f>
        <v>0</v>
      </c>
      <c r="AH24" s="84">
        <f>IF(AF24=17,20,IF(AF24=16,20,IF(AF24=15,30,IF(AF24=14,30,))))</f>
        <v>0</v>
      </c>
      <c r="AI24" s="45"/>
      <c r="AJ24" s="91">
        <f>ROUND(F24,1)</f>
        <v>89.7</v>
      </c>
      <c r="AK24" s="62">
        <f ca="1">IF(ISBLANK(F24),"",IF(F24&gt;0,IF(AJ24&gt;mkgmin,IF(AJ24&lt;mkgmax,ROUND(10^(mwert*LOG(OFFSET(AK24,0,-1)/mkgmax)^2),4),1),mscfmax)))</f>
        <v>1.1613</v>
      </c>
      <c r="AL24" s="63">
        <f>IF(ISBLANK(F24),"",IF(C24="F",AK24+0.4,AK24))</f>
        <v>1.1613</v>
      </c>
      <c r="AM24" s="64">
        <f>IF(B24="","",IF(F24="","",IF(MAX(AQ24:AS24)&lt;0,0,ROUND(MAX(AQ24:AS24)*$AL24,2))))</f>
        <v>135.87</v>
      </c>
      <c r="AN24" s="65">
        <f>IF(B24="","",IF(F24="","",IF(MAX(AT24:AV24)&lt;0,0,ROUND(MAX(AT24:AV24)*$AL24,2))))</f>
        <v>180</v>
      </c>
      <c r="AO24" s="66">
        <f>IF(B24="","",IF(F24="","",MAX(AQ24:AS24)+MAX(AT24:AV24)))</f>
        <v>272</v>
      </c>
      <c r="AP24" s="65">
        <f>IF(B24="","",IF(F24="","",AM24+AN24))</f>
        <v>315.87</v>
      </c>
      <c r="AQ24" s="67">
        <f>IF(I24="x",0,H24)</f>
        <v>112</v>
      </c>
      <c r="AR24" s="67">
        <f>IF(K24="x",0,J24)</f>
        <v>117</v>
      </c>
      <c r="AS24" s="67">
        <f>IF(M24="x",0,L24)</f>
        <v>0</v>
      </c>
      <c r="AT24" s="67">
        <f>IF(Q24="x",0,P24)</f>
        <v>145</v>
      </c>
      <c r="AU24" s="67">
        <f>IF(X24="x",0,W24)</f>
        <v>152</v>
      </c>
      <c r="AV24" s="67">
        <f>IF(Z24="x",0,Y24)</f>
        <v>155</v>
      </c>
      <c r="AW24" s="79" t="s">
        <v>39</v>
      </c>
      <c r="AX24" s="79" t="s">
        <v>40</v>
      </c>
    </row>
    <row r="25" spans="1:50" s="37" customFormat="1" ht="15" customHeight="1">
      <c r="A25" s="128">
        <v>13</v>
      </c>
      <c r="B25" s="120" t="s">
        <v>144</v>
      </c>
      <c r="C25" s="151" t="s">
        <v>125</v>
      </c>
      <c r="D25" s="161">
        <f>IF(E25="","",VLOOKUP(E25,'[1]Athleten 2008 (2)'!A$1:N$999,14,FALSE))</f>
      </c>
      <c r="E25" s="129"/>
      <c r="F25" s="129">
        <v>78.8</v>
      </c>
      <c r="G25" s="131">
        <f>AL25</f>
        <v>1.2383</v>
      </c>
      <c r="H25" s="167">
        <v>125</v>
      </c>
      <c r="I25" s="132" t="s">
        <v>148</v>
      </c>
      <c r="J25" s="170">
        <v>125</v>
      </c>
      <c r="K25" s="132"/>
      <c r="L25" s="170">
        <v>132</v>
      </c>
      <c r="M25" s="133"/>
      <c r="N25" s="220">
        <f t="shared" si="6"/>
        <v>163.46</v>
      </c>
      <c r="O25" s="221"/>
      <c r="P25" s="167">
        <v>150</v>
      </c>
      <c r="Q25" s="132"/>
      <c r="R25" s="208"/>
      <c r="S25" s="208"/>
      <c r="T25" s="208"/>
      <c r="U25" s="208"/>
      <c r="V25" s="208"/>
      <c r="W25" s="170">
        <v>155</v>
      </c>
      <c r="X25" s="132" t="s">
        <v>148</v>
      </c>
      <c r="Y25" s="170">
        <v>155</v>
      </c>
      <c r="Z25" s="132" t="s">
        <v>148</v>
      </c>
      <c r="AA25" s="134">
        <f t="shared" si="5"/>
        <v>185.75</v>
      </c>
      <c r="AB25" s="173">
        <f>AO25</f>
        <v>282</v>
      </c>
      <c r="AC25" s="134">
        <f t="shared" si="7"/>
        <v>349.21000000000004</v>
      </c>
      <c r="AE25" s="90">
        <f>IF(D25="","",YEAR(IF(D25&gt;1900,D25,IF(D25&lt;11,D25+2000,D25+1900))))</f>
      </c>
      <c r="AF25" s="90">
        <f>IF(AE25="","",YEAR(W$1)-(AE25))</f>
      </c>
      <c r="AG25" s="84">
        <f>IF(AF25=17,10,IF(AF25=16,10,IF(AF25=15,20,IF(AF25=14,20,))))</f>
        <v>0</v>
      </c>
      <c r="AH25" s="84">
        <f>IF(AF25=17,20,IF(AF25=16,20,IF(AF25=15,30,IF(AF25=14,30,))))</f>
        <v>0</v>
      </c>
      <c r="AI25" s="45"/>
      <c r="AJ25" s="91">
        <f>ROUND(F25,1)</f>
        <v>78.8</v>
      </c>
      <c r="AK25" s="62">
        <f ca="1">IF(ISBLANK(F25),"",IF(F25&gt;0,IF(AJ25&gt;mkgmin,IF(AJ25&lt;mkgmax,ROUND(10^(mwert*LOG(OFFSET(AK25,0,-1)/mkgmax)^2),4),1),mscfmax)))</f>
        <v>1.2383</v>
      </c>
      <c r="AL25" s="63">
        <f>IF(ISBLANK(F25),"",IF(C25="F",AK25+0.4,AK25))</f>
        <v>1.2383</v>
      </c>
      <c r="AM25" s="64">
        <f>IF(B25="","",IF(F25="","",IF(MAX(AQ25:AS25)&lt;0,0,ROUND(MAX(AQ25:AS25)*$AL25,2))))</f>
        <v>163.46</v>
      </c>
      <c r="AN25" s="65">
        <f>IF(B25="","",IF(F25="","",IF(MAX(AT25:AV25)&lt;0,0,ROUND(MAX(AT25:AV25)*$AL25,2))))</f>
        <v>185.75</v>
      </c>
      <c r="AO25" s="66">
        <f>IF(B25="","",IF(F25="","",MAX(AQ25:AS25)+MAX(AT25:AV25)))</f>
        <v>282</v>
      </c>
      <c r="AP25" s="65">
        <f>IF(B25="","",IF(F25="","",AM25+AN25))</f>
        <v>349.21000000000004</v>
      </c>
      <c r="AQ25" s="67">
        <f>IF(I25="x",0,H25)</f>
        <v>0</v>
      </c>
      <c r="AR25" s="67">
        <f>IF(K25="x",0,J25)</f>
        <v>125</v>
      </c>
      <c r="AS25" s="67">
        <f>IF(M25="x",0,L25)</f>
        <v>132</v>
      </c>
      <c r="AT25" s="67">
        <f>IF(Q25="x",0,P25)</f>
        <v>150</v>
      </c>
      <c r="AU25" s="67">
        <f>IF(X25="x",0,W25)</f>
        <v>0</v>
      </c>
      <c r="AV25" s="67">
        <f>IF(Z25="x",0,Y25)</f>
        <v>0</v>
      </c>
      <c r="AW25" s="79" t="s">
        <v>41</v>
      </c>
      <c r="AX25" s="79" t="s">
        <v>42</v>
      </c>
    </row>
    <row r="26" spans="1:50" s="37" customFormat="1" ht="15" customHeight="1">
      <c r="A26" s="128">
        <v>14</v>
      </c>
      <c r="B26" s="120" t="s">
        <v>145</v>
      </c>
      <c r="C26" s="151" t="s">
        <v>125</v>
      </c>
      <c r="D26" s="161">
        <f>IF(E26="","",VLOOKUP(E26,'[1]Athleten 2008 (2)'!A$1:N$999,14,FALSE))</f>
      </c>
      <c r="E26" s="129"/>
      <c r="F26" s="129">
        <v>89.6</v>
      </c>
      <c r="G26" s="131">
        <f>AL26</f>
        <v>1.1619</v>
      </c>
      <c r="H26" s="167">
        <v>120</v>
      </c>
      <c r="I26" s="132"/>
      <c r="J26" s="170">
        <v>125</v>
      </c>
      <c r="K26" s="132" t="s">
        <v>148</v>
      </c>
      <c r="L26" s="170">
        <v>125</v>
      </c>
      <c r="M26" s="133" t="s">
        <v>148</v>
      </c>
      <c r="N26" s="220">
        <f t="shared" si="6"/>
        <v>139.43</v>
      </c>
      <c r="O26" s="221"/>
      <c r="P26" s="167">
        <v>150</v>
      </c>
      <c r="Q26" s="132"/>
      <c r="R26" s="208"/>
      <c r="S26" s="208"/>
      <c r="T26" s="208"/>
      <c r="U26" s="208"/>
      <c r="V26" s="208"/>
      <c r="W26" s="170">
        <v>155</v>
      </c>
      <c r="X26" s="132" t="s">
        <v>148</v>
      </c>
      <c r="Y26" s="170">
        <v>155</v>
      </c>
      <c r="Z26" s="132" t="s">
        <v>148</v>
      </c>
      <c r="AA26" s="134">
        <f t="shared" si="5"/>
        <v>174.29</v>
      </c>
      <c r="AB26" s="173">
        <f>AO26</f>
        <v>270</v>
      </c>
      <c r="AC26" s="134">
        <f t="shared" si="7"/>
        <v>313.72</v>
      </c>
      <c r="AE26" s="90">
        <f>IF(D26="","",YEAR(IF(D26&gt;1900,D26,IF(D26&lt;11,D26+2000,D26+1900))))</f>
      </c>
      <c r="AF26" s="90">
        <f>IF(AE26="","",YEAR(W$1)-(AE26))</f>
      </c>
      <c r="AG26" s="84">
        <f>IF(AF26=17,10,IF(AF26=16,10,IF(AF26=15,20,IF(AF26=14,20,))))</f>
        <v>0</v>
      </c>
      <c r="AH26" s="84">
        <f>IF(AF26=17,20,IF(AF26=16,20,IF(AF26=15,30,IF(AF26=14,30,))))</f>
        <v>0</v>
      </c>
      <c r="AI26" s="45"/>
      <c r="AJ26" s="91">
        <f>ROUND(F26,1)</f>
        <v>89.6</v>
      </c>
      <c r="AK26" s="62">
        <f ca="1">IF(ISBLANK(F26),"",IF(F26&gt;0,IF(AJ26&gt;mkgmin,IF(AJ26&lt;mkgmax,ROUND(10^(mwert*LOG(OFFSET(AK26,0,-1)/mkgmax)^2),4),1),mscfmax)))</f>
        <v>1.1619</v>
      </c>
      <c r="AL26" s="63">
        <f>IF(ISBLANK(F26),"",IF(C26="F",AK26+0.4,AK26))</f>
        <v>1.1619</v>
      </c>
      <c r="AM26" s="64">
        <f>IF(B26="","",IF(F26="","",IF(MAX(AQ26:AS26)&lt;0,0,ROUND(MAX(AQ26:AS26)*$AL26,2))))</f>
        <v>139.43</v>
      </c>
      <c r="AN26" s="65">
        <f>IF(B26="","",IF(F26="","",IF(MAX(AT26:AV26)&lt;0,0,ROUND(MAX(AT26:AV26)*$AL26,2))))</f>
        <v>174.29</v>
      </c>
      <c r="AO26" s="66">
        <f>IF(B26="","",IF(F26="","",MAX(AQ26:AS26)+MAX(AT26:AV26)))</f>
        <v>270</v>
      </c>
      <c r="AP26" s="65">
        <f>IF(B26="","",IF(F26="","",AM26+AN26))</f>
        <v>313.72</v>
      </c>
      <c r="AQ26" s="67">
        <f>IF(I26="x",0,H26)</f>
        <v>120</v>
      </c>
      <c r="AR26" s="67">
        <f>IF(K26="x",0,J26)</f>
        <v>0</v>
      </c>
      <c r="AS26" s="67">
        <f>IF(M26="x",0,L26)</f>
        <v>0</v>
      </c>
      <c r="AT26" s="67">
        <f>IF(Q26="x",0,P26)</f>
        <v>150</v>
      </c>
      <c r="AU26" s="67">
        <f>IF(X26="x",0,W26)</f>
        <v>0</v>
      </c>
      <c r="AV26" s="67">
        <f>IF(Z26="x",0,Y26)</f>
        <v>0</v>
      </c>
      <c r="AW26" s="79" t="s">
        <v>43</v>
      </c>
      <c r="AX26" s="79" t="s">
        <v>44</v>
      </c>
    </row>
    <row r="27" spans="1:50" s="37" customFormat="1" ht="15" customHeight="1" thickBot="1">
      <c r="A27" s="135">
        <v>15</v>
      </c>
      <c r="B27" s="164">
        <f>IF(E27="","",VLOOKUP(E27,'[1]Athleten 2008 (2)'!A$1:C$999,2,FALSE))</f>
      </c>
      <c r="C27" s="136">
        <f>IF(E27="","",IF(VLOOKUP(E27,'[1]Athleten 2008 (2)'!A$1:F$999,6,FALSE)="W","F",""))</f>
      </c>
      <c r="D27" s="163">
        <f>IF(E27="","",VLOOKUP(E27,'[1]Athleten 2008 (2)'!A$1:N$999,14,FALSE))</f>
      </c>
      <c r="E27" s="165"/>
      <c r="F27" s="137"/>
      <c r="G27" s="138">
        <f>AL27</f>
      </c>
      <c r="H27" s="168"/>
      <c r="I27" s="139"/>
      <c r="J27" s="171"/>
      <c r="K27" s="139"/>
      <c r="L27" s="171"/>
      <c r="M27" s="140"/>
      <c r="N27" s="229">
        <f t="shared" si="6"/>
      </c>
      <c r="O27" s="230"/>
      <c r="P27" s="168"/>
      <c r="Q27" s="139"/>
      <c r="R27" s="209"/>
      <c r="S27" s="209"/>
      <c r="T27" s="209"/>
      <c r="U27" s="209"/>
      <c r="V27" s="209"/>
      <c r="W27" s="171"/>
      <c r="X27" s="139"/>
      <c r="Y27" s="171"/>
      <c r="Z27" s="139"/>
      <c r="AA27" s="108">
        <f t="shared" si="5"/>
      </c>
      <c r="AB27" s="174">
        <f>AO27</f>
      </c>
      <c r="AC27" s="108">
        <f t="shared" si="7"/>
      </c>
      <c r="AE27" s="90">
        <f>IF(D27="","",YEAR(IF(D27&gt;1900,D27,IF(D27&lt;11,D27+2000,D27+1900))))</f>
      </c>
      <c r="AF27" s="90">
        <f>IF(AE27="","",YEAR(W$1)-(AE27))</f>
      </c>
      <c r="AG27" s="84">
        <f>IF(AF27=17,10,IF(AF27=16,10,IF(AF27=15,20,IF(AF27=14,20,))))</f>
        <v>0</v>
      </c>
      <c r="AH27" s="84">
        <f>IF(AF27=17,20,IF(AF27=16,20,IF(AF27=15,30,IF(AF27=14,30,))))</f>
        <v>0</v>
      </c>
      <c r="AI27" s="45"/>
      <c r="AJ27" s="91">
        <f>ROUND(F27,1)</f>
        <v>0</v>
      </c>
      <c r="AK27" s="62">
        <f ca="1">IF(ISBLANK(F27),"",IF(F27&gt;0,IF(AJ27&gt;mkgmin,IF(AJ27&lt;mkgmax,ROUND(10^(mwert*LOG(OFFSET(AK27,0,-1)/mkgmax)^2),4),1),mscfmax)))</f>
      </c>
      <c r="AL27" s="63">
        <f>IF(ISBLANK(F27),"",IF(C27="F",AK27+0.4,AK27))</f>
      </c>
      <c r="AM27" s="64">
        <f>IF(B27="","",IF(F27="","",IF(MAX(AQ27:AS27)&lt;0,0,ROUND(MAX(AQ27:AS27)*$AL27,2))))</f>
      </c>
      <c r="AN27" s="65">
        <f>IF(B27="","",IF(F27="","",IF(MAX(AT27:AV27)&lt;0,0,ROUND(MAX(AT27:AV27)*$AL27,2))))</f>
      </c>
      <c r="AO27" s="66">
        <f>IF(B27="","",IF(F27="","",MAX(AQ27:AS27)+MAX(AT27:AV27)))</f>
      </c>
      <c r="AP27" s="65">
        <f>IF(B27="","",IF(F27="","",AM27+AN27))</f>
      </c>
      <c r="AQ27" s="67">
        <f>IF(I27="x",0,H27)</f>
        <v>0</v>
      </c>
      <c r="AR27" s="67">
        <f>IF(K27="x",0,J27)</f>
        <v>0</v>
      </c>
      <c r="AS27" s="67">
        <f>IF(M27="x",0,L27)</f>
        <v>0</v>
      </c>
      <c r="AT27" s="67">
        <f>IF(Q27="x",0,P27)</f>
        <v>0</v>
      </c>
      <c r="AU27" s="67">
        <f>IF(X27="x",0,W27)</f>
        <v>0</v>
      </c>
      <c r="AV27" s="67">
        <f>IF(Z27="x",0,Y27)</f>
        <v>0</v>
      </c>
      <c r="AW27" s="79" t="s">
        <v>45</v>
      </c>
      <c r="AX27" s="79" t="s">
        <v>46</v>
      </c>
    </row>
    <row r="28" spans="1:44" s="37" customFormat="1" ht="15" customHeight="1">
      <c r="A28" s="149"/>
      <c r="B28" s="142" t="s">
        <v>122</v>
      </c>
      <c r="C28" s="231" t="s">
        <v>90</v>
      </c>
      <c r="D28" s="231"/>
      <c r="E28" s="231"/>
      <c r="F28" s="231"/>
      <c r="G28" s="188">
        <f>G12</f>
        <v>1</v>
      </c>
      <c r="H28" s="211" t="s">
        <v>25</v>
      </c>
      <c r="I28" s="212"/>
      <c r="J28" s="212"/>
      <c r="K28" s="212"/>
      <c r="L28" s="212"/>
      <c r="M28" s="232"/>
      <c r="N28" s="233">
        <f t="shared" si="6"/>
        <v>579.28</v>
      </c>
      <c r="O28" s="234"/>
      <c r="P28" s="211" t="s">
        <v>26</v>
      </c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143">
        <f t="shared" si="5"/>
        <v>711.1099999999999</v>
      </c>
      <c r="AB28" s="144" t="s">
        <v>27</v>
      </c>
      <c r="AC28" s="143">
        <f t="shared" si="7"/>
        <v>1290.39</v>
      </c>
      <c r="AE28" s="84" t="s">
        <v>96</v>
      </c>
      <c r="AF28" s="84">
        <f>G28</f>
        <v>1</v>
      </c>
      <c r="AG28" s="84"/>
      <c r="AH28" s="84"/>
      <c r="AI28" s="45"/>
      <c r="AJ28" s="85">
        <f>LARGE(AG23:AG27,1)</f>
        <v>0</v>
      </c>
      <c r="AK28" s="85">
        <f>LARGE(AH23:AH27,1)</f>
        <v>0</v>
      </c>
      <c r="AL28" s="84" t="s">
        <v>91</v>
      </c>
      <c r="AM28" s="68">
        <f>SUM(AM23:AM27)</f>
        <v>579.28</v>
      </c>
      <c r="AN28" s="65">
        <f>SUM(AN23:AN27)</f>
        <v>711.1099999999999</v>
      </c>
      <c r="AO28" s="69" t="s">
        <v>27</v>
      </c>
      <c r="AP28" s="65">
        <f>SUM(AP23:AP27)</f>
        <v>1290.39</v>
      </c>
      <c r="AR28" s="46"/>
    </row>
    <row r="29" spans="1:42" s="37" customFormat="1" ht="15" customHeight="1">
      <c r="A29" s="149"/>
      <c r="B29" s="213" t="s">
        <v>138</v>
      </c>
      <c r="C29" s="213"/>
      <c r="D29" s="213"/>
      <c r="E29" s="213"/>
      <c r="F29" s="213"/>
      <c r="G29" s="214"/>
      <c r="H29" s="217" t="s">
        <v>89</v>
      </c>
      <c r="I29" s="218"/>
      <c r="J29" s="218"/>
      <c r="K29" s="218"/>
      <c r="L29" s="218"/>
      <c r="M29" s="219"/>
      <c r="N29" s="220">
        <f>AG29</f>
        <v>0</v>
      </c>
      <c r="O29" s="221"/>
      <c r="P29" s="222" t="s">
        <v>89</v>
      </c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134">
        <f>AH29</f>
        <v>0</v>
      </c>
      <c r="AB29" s="145" t="s">
        <v>28</v>
      </c>
      <c r="AC29" s="134">
        <f t="shared" si="7"/>
        <v>0</v>
      </c>
      <c r="AE29" s="84"/>
      <c r="AF29" s="84" t="s">
        <v>94</v>
      </c>
      <c r="AG29" s="84">
        <f>IF(G28=1,AJ28,IF(G28=2,SUM(AJ28:AJ29),IF(G28=3,SUM(AJ28:AJ30),0)))</f>
        <v>0</v>
      </c>
      <c r="AH29" s="84">
        <f>IF(G28=1,AK28,IF(G28=2,SUM(AK28:AK29),IF(G28=3,SUM(AK28:AK30),0)))</f>
        <v>0</v>
      </c>
      <c r="AI29" s="45"/>
      <c r="AJ29" s="85">
        <f>LARGE(AG23:AG27,2)</f>
        <v>0</v>
      </c>
      <c r="AK29" s="85">
        <f>LARGE(AH23:AH27,2)</f>
        <v>0</v>
      </c>
      <c r="AL29" s="84" t="s">
        <v>92</v>
      </c>
      <c r="AM29" s="77">
        <f>N29</f>
        <v>0</v>
      </c>
      <c r="AN29" s="76">
        <f>AA29</f>
        <v>0</v>
      </c>
      <c r="AO29" s="75" t="s">
        <v>28</v>
      </c>
      <c r="AP29" s="76">
        <f>SUM(AM29+AN29)</f>
        <v>0</v>
      </c>
    </row>
    <row r="30" spans="1:49" s="37" customFormat="1" ht="15" customHeight="1" thickBot="1">
      <c r="A30" s="150"/>
      <c r="B30" s="215"/>
      <c r="C30" s="215"/>
      <c r="D30" s="215"/>
      <c r="E30" s="215"/>
      <c r="F30" s="215"/>
      <c r="G30" s="216"/>
      <c r="H30" s="224" t="s">
        <v>29</v>
      </c>
      <c r="I30" s="225"/>
      <c r="J30" s="225"/>
      <c r="K30" s="225"/>
      <c r="L30" s="225"/>
      <c r="M30" s="226"/>
      <c r="N30" s="227">
        <f>AM30</f>
        <v>579.28</v>
      </c>
      <c r="O30" s="228"/>
      <c r="P30" s="224" t="s">
        <v>29</v>
      </c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162">
        <f aca="true" t="shared" si="8" ref="AA30:AA36">AN30</f>
        <v>711.1099999999999</v>
      </c>
      <c r="AB30" s="148" t="s">
        <v>29</v>
      </c>
      <c r="AC30" s="162">
        <f t="shared" si="7"/>
        <v>1290.39</v>
      </c>
      <c r="AE30" s="45"/>
      <c r="AF30" s="45"/>
      <c r="AG30" s="45"/>
      <c r="AH30" s="45"/>
      <c r="AI30" s="45"/>
      <c r="AJ30" s="85">
        <f>LARGE(AG23:AG27,3)</f>
        <v>0</v>
      </c>
      <c r="AK30" s="85">
        <f>LARGE(AH23:AH27,3)</f>
        <v>0</v>
      </c>
      <c r="AL30" s="84" t="s">
        <v>93</v>
      </c>
      <c r="AM30" s="77">
        <f>AM28+AM29</f>
        <v>579.28</v>
      </c>
      <c r="AN30" s="76">
        <f>AN28+AN29</f>
        <v>711.1099999999999</v>
      </c>
      <c r="AO30" s="75" t="s">
        <v>29</v>
      </c>
      <c r="AP30" s="78">
        <f>AP28+AP29</f>
        <v>1290.39</v>
      </c>
      <c r="AR30" s="46"/>
      <c r="AS30" s="102"/>
      <c r="AU30" s="103"/>
      <c r="AW30" s="103"/>
    </row>
    <row r="31" spans="1:50" s="37" customFormat="1" ht="15" customHeight="1">
      <c r="A31" s="119">
        <v>16</v>
      </c>
      <c r="B31" s="120" t="s">
        <v>132</v>
      </c>
      <c r="C31" s="151" t="s">
        <v>125</v>
      </c>
      <c r="D31" s="161">
        <v>37336</v>
      </c>
      <c r="E31" s="122" t="s">
        <v>133</v>
      </c>
      <c r="F31" s="123"/>
      <c r="G31" s="124">
        <f>AL31</f>
      </c>
      <c r="H31" s="166">
        <v>8</v>
      </c>
      <c r="I31" s="125"/>
      <c r="J31" s="169">
        <v>10</v>
      </c>
      <c r="K31" s="125"/>
      <c r="L31" s="169">
        <v>11</v>
      </c>
      <c r="M31" s="126"/>
      <c r="N31" s="235">
        <f aca="true" t="shared" si="9" ref="N31:N36">AM31</f>
      </c>
      <c r="O31" s="236"/>
      <c r="P31" s="166">
        <v>10</v>
      </c>
      <c r="Q31" s="125"/>
      <c r="R31" s="207"/>
      <c r="S31" s="207"/>
      <c r="T31" s="207"/>
      <c r="U31" s="207"/>
      <c r="V31" s="207"/>
      <c r="W31" s="169">
        <v>13</v>
      </c>
      <c r="X31" s="125"/>
      <c r="Y31" s="169">
        <v>15</v>
      </c>
      <c r="Z31" s="125"/>
      <c r="AA31" s="127">
        <f t="shared" si="8"/>
      </c>
      <c r="AB31" s="172">
        <f>AO31</f>
      </c>
      <c r="AC31" s="127">
        <f aca="true" t="shared" si="10" ref="AC31:AC38">AP31</f>
      </c>
      <c r="AE31" s="90">
        <f>IF(D31="","",YEAR(IF(D31&gt;1900,D31,IF(D31&lt;11,D31+2000,D31+1900))))</f>
        <v>2002</v>
      </c>
      <c r="AF31" s="90">
        <f>IF(AE31="","",YEAR(W$1)-(AE31))</f>
        <v>9</v>
      </c>
      <c r="AG31" s="84">
        <f>IF(AF31=17,10,IF(AF31=16,10,IF(AF31=15,20,IF(AF31=14,20,))))</f>
        <v>0</v>
      </c>
      <c r="AH31" s="84">
        <f>IF(AF31=17,20,IF(AF31=16,20,IF(AF31=15,30,IF(AF31=14,30,))))</f>
        <v>0</v>
      </c>
      <c r="AI31" s="45"/>
      <c r="AJ31" s="91">
        <f>ROUND(F31,1)</f>
        <v>0</v>
      </c>
      <c r="AK31" s="62">
        <f ca="1">IF(ISBLANK(F31),"",IF(F31&gt;0,IF(AJ31&gt;mkgmin,IF(AJ31&lt;mkgmax,ROUND(10^(mwert*LOG(OFFSET(AK31,0,-1)/mkgmax)^2),4),1),mscfmax)))</f>
      </c>
      <c r="AL31" s="63">
        <f>IF(ISBLANK(F31),"",IF(C31="F",AK31+0.4,AK31))</f>
      </c>
      <c r="AM31" s="64">
        <f>IF(B31="","",IF(F31="","",IF(MAX(AQ31:AS31)&lt;0,0,ROUND(MAX(AQ31:AS31)*$AL31,2))))</f>
      </c>
      <c r="AN31" s="65">
        <f>IF(B31="","",IF(F31="","",IF(MAX(AT31:AV31)&lt;0,0,ROUND(MAX(AT31:AV31)*$AL31,2))))</f>
      </c>
      <c r="AO31" s="66">
        <f>IF(B31="","",IF(F31="","",MAX(AQ31:AS31)+MAX(AT31:AV31)))</f>
      </c>
      <c r="AP31" s="65">
        <f>IF(B31="","",IF(F31="","",AM31+AN31))</f>
      </c>
      <c r="AQ31" s="67">
        <f>IF(I31="x",0,H31)</f>
        <v>8</v>
      </c>
      <c r="AR31" s="67">
        <f>IF(K31="x",0,J31)</f>
        <v>10</v>
      </c>
      <c r="AS31" s="67">
        <f>IF(M31="x",0,L31)</f>
        <v>11</v>
      </c>
      <c r="AT31" s="67">
        <f>IF(Q31="x",0,P31)</f>
        <v>10</v>
      </c>
      <c r="AU31" s="67">
        <f>IF(X31="x",0,W31)</f>
        <v>13</v>
      </c>
      <c r="AV31" s="67">
        <f>IF(Z31="x",0,Y31)</f>
        <v>15</v>
      </c>
      <c r="AW31" s="79" t="s">
        <v>37</v>
      </c>
      <c r="AX31" s="79" t="s">
        <v>38</v>
      </c>
    </row>
    <row r="32" spans="1:50" s="37" customFormat="1" ht="15" customHeight="1">
      <c r="A32" s="128">
        <v>17</v>
      </c>
      <c r="B32" s="120" t="s">
        <v>134</v>
      </c>
      <c r="C32" s="151" t="s">
        <v>125</v>
      </c>
      <c r="D32" s="161">
        <v>37287</v>
      </c>
      <c r="E32" s="129" t="s">
        <v>135</v>
      </c>
      <c r="F32" s="130"/>
      <c r="G32" s="131">
        <f>AL32</f>
      </c>
      <c r="H32" s="167">
        <v>10</v>
      </c>
      <c r="I32" s="132"/>
      <c r="J32" s="170">
        <v>13</v>
      </c>
      <c r="K32" s="132"/>
      <c r="L32" s="170">
        <v>15</v>
      </c>
      <c r="M32" s="133"/>
      <c r="N32" s="220">
        <f t="shared" si="9"/>
      </c>
      <c r="O32" s="221"/>
      <c r="P32" s="167">
        <v>12</v>
      </c>
      <c r="Q32" s="132"/>
      <c r="R32" s="208"/>
      <c r="S32" s="208"/>
      <c r="T32" s="208"/>
      <c r="U32" s="208"/>
      <c r="V32" s="208"/>
      <c r="W32" s="170">
        <v>14</v>
      </c>
      <c r="X32" s="132"/>
      <c r="Y32" s="170">
        <v>16</v>
      </c>
      <c r="Z32" s="132"/>
      <c r="AA32" s="134">
        <f t="shared" si="8"/>
      </c>
      <c r="AB32" s="173">
        <f>AO32</f>
      </c>
      <c r="AC32" s="134">
        <f t="shared" si="10"/>
      </c>
      <c r="AE32" s="90">
        <f>IF(D32="","",YEAR(IF(D32&gt;1900,D32,IF(D32&lt;11,D32+2000,D32+1900))))</f>
        <v>2002</v>
      </c>
      <c r="AF32" s="90">
        <f>IF(AE32="","",YEAR(W$1)-(AE32))</f>
        <v>9</v>
      </c>
      <c r="AG32" s="84">
        <f>IF(AF32=17,10,IF(AF32=16,10,IF(AF32=15,20,IF(AF32=14,20,))))</f>
        <v>0</v>
      </c>
      <c r="AH32" s="84">
        <f>IF(AF32=17,20,IF(AF32=16,20,IF(AF32=15,30,IF(AF32=14,30,))))</f>
        <v>0</v>
      </c>
      <c r="AI32" s="45"/>
      <c r="AJ32" s="91">
        <f>ROUND(F32,1)</f>
        <v>0</v>
      </c>
      <c r="AK32" s="62">
        <f ca="1">IF(ISBLANK(F32),"",IF(F32&gt;0,IF(AJ32&gt;mkgmin,IF(AJ32&lt;mkgmax,ROUND(10^(mwert*LOG(OFFSET(AK32,0,-1)/mkgmax)^2),4),1),mscfmax)))</f>
      </c>
      <c r="AL32" s="63">
        <f>IF(ISBLANK(F32),"",IF(C32="F",AK32+0.4,AK32))</f>
      </c>
      <c r="AM32" s="64">
        <f>IF(B32="","",IF(F32="","",IF(MAX(AQ32:AS32)&lt;0,0,ROUND(MAX(AQ32:AS32)*$AL32,2))))</f>
      </c>
      <c r="AN32" s="65">
        <f>IF(B32="","",IF(F32="","",IF(MAX(AT32:AV32)&lt;0,0,ROUND(MAX(AT32:AV32)*$AL32,2))))</f>
      </c>
      <c r="AO32" s="66">
        <f>IF(B32="","",IF(F32="","",MAX(AQ32:AS32)+MAX(AT32:AV32)))</f>
      </c>
      <c r="AP32" s="65">
        <f>IF(B32="","",IF(F32="","",AM32+AN32))</f>
      </c>
      <c r="AQ32" s="67">
        <f>IF(I32="x",0,H32)</f>
        <v>10</v>
      </c>
      <c r="AR32" s="67">
        <f>IF(K32="x",0,J32)</f>
        <v>13</v>
      </c>
      <c r="AS32" s="67">
        <f>IF(M32="x",0,L32)</f>
        <v>15</v>
      </c>
      <c r="AT32" s="67">
        <f>IF(Q32="x",0,P32)</f>
        <v>12</v>
      </c>
      <c r="AU32" s="67">
        <f>IF(X32="x",0,W32)</f>
        <v>14</v>
      </c>
      <c r="AV32" s="67">
        <f>IF(Z32="x",0,Y32)</f>
        <v>16</v>
      </c>
      <c r="AW32" s="79" t="s">
        <v>39</v>
      </c>
      <c r="AX32" s="79" t="s">
        <v>40</v>
      </c>
    </row>
    <row r="33" spans="1:50" s="37" customFormat="1" ht="15" customHeight="1">
      <c r="A33" s="128">
        <v>18</v>
      </c>
      <c r="B33" s="120">
        <f>IF(E33="","",VLOOKUP(E33,'[1]Athleten 2008 (2)'!A$1:C$999,2,FALSE))</f>
      </c>
      <c r="C33" s="151">
        <f>IF(E33="","",IF(VLOOKUP(E33,'[1]Athleten 2008 (2)'!A$1:F$999,6,FALSE)="W","F",""))</f>
      </c>
      <c r="D33" s="161">
        <f>IF(E33="","",VLOOKUP(E33,'[1]Athleten 2008 (2)'!A$1:N$999,14,FALSE))</f>
      </c>
      <c r="E33" s="129"/>
      <c r="F33" s="130"/>
      <c r="G33" s="131">
        <f>AL33</f>
      </c>
      <c r="H33" s="167"/>
      <c r="I33" s="132"/>
      <c r="J33" s="170"/>
      <c r="K33" s="132"/>
      <c r="L33" s="170"/>
      <c r="M33" s="133"/>
      <c r="N33" s="220">
        <f t="shared" si="9"/>
      </c>
      <c r="O33" s="221"/>
      <c r="P33" s="167"/>
      <c r="Q33" s="132"/>
      <c r="R33" s="208"/>
      <c r="S33" s="208"/>
      <c r="T33" s="208"/>
      <c r="U33" s="208"/>
      <c r="V33" s="208"/>
      <c r="W33" s="170"/>
      <c r="X33" s="132"/>
      <c r="Y33" s="170"/>
      <c r="Z33" s="132"/>
      <c r="AA33" s="134">
        <f t="shared" si="8"/>
      </c>
      <c r="AB33" s="173">
        <f>AO33</f>
      </c>
      <c r="AC33" s="134">
        <f t="shared" si="10"/>
      </c>
      <c r="AE33" s="90">
        <f>IF(D33="","",YEAR(IF(D33&gt;1900,D33,IF(D33&lt;11,D33+2000,D33+1900))))</f>
      </c>
      <c r="AF33" s="90">
        <f>IF(AE33="","",YEAR(W$1)-(AE33))</f>
      </c>
      <c r="AG33" s="84">
        <f>IF(AF33=17,10,IF(AF33=16,10,IF(AF33=15,20,IF(AF33=14,20,))))</f>
        <v>0</v>
      </c>
      <c r="AH33" s="84">
        <f>IF(AF33=17,20,IF(AF33=16,20,IF(AF33=15,30,IF(AF33=14,30,))))</f>
        <v>0</v>
      </c>
      <c r="AI33" s="45"/>
      <c r="AJ33" s="91">
        <f>ROUND(F33,1)</f>
        <v>0</v>
      </c>
      <c r="AK33" s="62">
        <f ca="1">IF(ISBLANK(F33),"",IF(F33&gt;0,IF(AJ33&gt;mkgmin,IF(AJ33&lt;mkgmax,ROUND(10^(mwert*LOG(OFFSET(AK33,0,-1)/mkgmax)^2),4),1),mscfmax)))</f>
      </c>
      <c r="AL33" s="63">
        <f>IF(ISBLANK(F33),"",IF(C33="F",AK33+0.4,AK33))</f>
      </c>
      <c r="AM33" s="64">
        <f>IF(B33="","",IF(F33="","",IF(MAX(AQ33:AS33)&lt;0,0,ROUND(MAX(AQ33:AS33)*$AL33,2))))</f>
      </c>
      <c r="AN33" s="65">
        <f>IF(B33="","",IF(F33="","",IF(MAX(AT33:AV33)&lt;0,0,ROUND(MAX(AT33:AV33)*$AL33,2))))</f>
      </c>
      <c r="AO33" s="66">
        <f>IF(B33="","",IF(F33="","",MAX(AQ33:AS33)+MAX(AT33:AV33)))</f>
      </c>
      <c r="AP33" s="65">
        <f>IF(B33="","",IF(F33="","",AM33+AN33))</f>
      </c>
      <c r="AQ33" s="67">
        <f>IF(I33="x",0,H33)</f>
        <v>0</v>
      </c>
      <c r="AR33" s="67">
        <f>IF(K33="x",0,J33)</f>
        <v>0</v>
      </c>
      <c r="AS33" s="67">
        <f>IF(M33="x",0,L33)</f>
        <v>0</v>
      </c>
      <c r="AT33" s="67">
        <f>IF(Q33="x",0,P33)</f>
        <v>0</v>
      </c>
      <c r="AU33" s="67">
        <f>IF(X33="x",0,W33)</f>
        <v>0</v>
      </c>
      <c r="AV33" s="67">
        <f>IF(Z33="x",0,Y33)</f>
        <v>0</v>
      </c>
      <c r="AW33" s="79" t="s">
        <v>41</v>
      </c>
      <c r="AX33" s="79" t="s">
        <v>42</v>
      </c>
    </row>
    <row r="34" spans="1:50" s="37" customFormat="1" ht="15" customHeight="1">
      <c r="A34" s="128">
        <v>19</v>
      </c>
      <c r="B34" s="120" t="s">
        <v>146</v>
      </c>
      <c r="C34" s="151" t="s">
        <v>125</v>
      </c>
      <c r="D34" s="161">
        <f>IF(E34="","",VLOOKUP(E34,'[1]Athleten 2008 (2)'!A$1:N$999,14,FALSE))</f>
      </c>
      <c r="E34" s="129"/>
      <c r="F34" s="129">
        <v>74.8</v>
      </c>
      <c r="G34" s="131">
        <f>AL34</f>
        <v>1.2748</v>
      </c>
      <c r="H34" s="167">
        <v>100</v>
      </c>
      <c r="I34" s="132" t="s">
        <v>148</v>
      </c>
      <c r="J34" s="170">
        <v>100</v>
      </c>
      <c r="K34" s="132" t="s">
        <v>148</v>
      </c>
      <c r="L34" s="170">
        <v>105</v>
      </c>
      <c r="M34" s="133" t="s">
        <v>148</v>
      </c>
      <c r="N34" s="220">
        <f t="shared" si="9"/>
        <v>0</v>
      </c>
      <c r="O34" s="221"/>
      <c r="P34" s="167">
        <v>0</v>
      </c>
      <c r="Q34" s="132"/>
      <c r="R34" s="208"/>
      <c r="S34" s="208"/>
      <c r="T34" s="208"/>
      <c r="U34" s="208"/>
      <c r="V34" s="208"/>
      <c r="W34" s="170">
        <v>0</v>
      </c>
      <c r="X34" s="132"/>
      <c r="Y34" s="170">
        <v>0</v>
      </c>
      <c r="Z34" s="132"/>
      <c r="AA34" s="134">
        <f t="shared" si="8"/>
        <v>0</v>
      </c>
      <c r="AB34" s="173">
        <f>AO34</f>
        <v>0</v>
      </c>
      <c r="AC34" s="134">
        <f t="shared" si="10"/>
        <v>0</v>
      </c>
      <c r="AE34" s="90">
        <f>IF(D34="","",YEAR(IF(D34&gt;1900,D34,IF(D34&lt;11,D34+2000,D34+1900))))</f>
      </c>
      <c r="AF34" s="90">
        <f>IF(AE34="","",YEAR(W$1)-(AE34))</f>
      </c>
      <c r="AG34" s="84">
        <f>IF(AF34=17,10,IF(AF34=16,10,IF(AF34=15,20,IF(AF34=14,20,))))</f>
        <v>0</v>
      </c>
      <c r="AH34" s="84">
        <f>IF(AF34=17,20,IF(AF34=16,20,IF(AF34=15,30,IF(AF34=14,30,))))</f>
        <v>0</v>
      </c>
      <c r="AI34" s="45"/>
      <c r="AJ34" s="91">
        <f>ROUND(F34,1)</f>
        <v>74.8</v>
      </c>
      <c r="AK34" s="62">
        <f ca="1">IF(ISBLANK(F34),"",IF(F34&gt;0,IF(AJ34&gt;mkgmin,IF(AJ34&lt;mkgmax,ROUND(10^(mwert*LOG(OFFSET(AK34,0,-1)/mkgmax)^2),4),1),mscfmax)))</f>
        <v>1.2748</v>
      </c>
      <c r="AL34" s="63">
        <f>IF(ISBLANK(F34),"",IF(C34="F",AK34+0.4,AK34))</f>
        <v>1.2748</v>
      </c>
      <c r="AM34" s="64">
        <f>IF(B34="","",IF(F34="","",IF(MAX(AQ34:AS34)&lt;0,0,ROUND(MAX(AQ34:AS34)*$AL34,2))))</f>
        <v>0</v>
      </c>
      <c r="AN34" s="65">
        <f>IF(B34="","",IF(F34="","",IF(MAX(AT34:AV34)&lt;0,0,ROUND(MAX(AT34:AV34)*$AL34,2))))</f>
        <v>0</v>
      </c>
      <c r="AO34" s="66">
        <f>IF(B34="","",IF(F34="","",MAX(AQ34:AS34)+MAX(AT34:AV34)))</f>
        <v>0</v>
      </c>
      <c r="AP34" s="65">
        <f>IF(B34="","",IF(F34="","",AM34+AN34))</f>
        <v>0</v>
      </c>
      <c r="AQ34" s="67">
        <f>IF(I34="x",0,H34)</f>
        <v>0</v>
      </c>
      <c r="AR34" s="67">
        <f>IF(K34="x",0,J34)</f>
        <v>0</v>
      </c>
      <c r="AS34" s="67">
        <f>IF(M34="x",0,L34)</f>
        <v>0</v>
      </c>
      <c r="AT34" s="67">
        <f>IF(Q34="x",0,P34)</f>
        <v>0</v>
      </c>
      <c r="AU34" s="67">
        <f>IF(X34="x",0,W34)</f>
        <v>0</v>
      </c>
      <c r="AV34" s="67">
        <f>IF(Z34="x",0,Y34)</f>
        <v>0</v>
      </c>
      <c r="AW34" s="79" t="s">
        <v>43</v>
      </c>
      <c r="AX34" s="79" t="s">
        <v>44</v>
      </c>
    </row>
    <row r="35" spans="1:50" s="37" customFormat="1" ht="15" customHeight="1" thickBot="1">
      <c r="A35" s="135">
        <v>20</v>
      </c>
      <c r="B35" s="164" t="s">
        <v>147</v>
      </c>
      <c r="C35" s="136" t="s">
        <v>125</v>
      </c>
      <c r="D35" s="163">
        <f>IF(E35="","",VLOOKUP(E35,'[1]Athleten 2008 (2)'!A$1:N$999,14,FALSE))</f>
      </c>
      <c r="E35" s="165"/>
      <c r="F35" s="165">
        <v>81.3</v>
      </c>
      <c r="G35" s="138">
        <f>AL35</f>
        <v>1.218</v>
      </c>
      <c r="H35" s="168">
        <v>112</v>
      </c>
      <c r="I35" s="139"/>
      <c r="J35" s="171">
        <v>120</v>
      </c>
      <c r="K35" s="139"/>
      <c r="L35" s="171">
        <v>123</v>
      </c>
      <c r="M35" s="140" t="s">
        <v>148</v>
      </c>
      <c r="N35" s="229">
        <f t="shared" si="9"/>
        <v>146.16</v>
      </c>
      <c r="O35" s="230"/>
      <c r="P35" s="168">
        <v>150</v>
      </c>
      <c r="Q35" s="139"/>
      <c r="R35" s="209"/>
      <c r="S35" s="209"/>
      <c r="T35" s="209"/>
      <c r="U35" s="209"/>
      <c r="V35" s="209"/>
      <c r="W35" s="171">
        <v>156</v>
      </c>
      <c r="X35" s="139"/>
      <c r="Y35" s="171">
        <v>160</v>
      </c>
      <c r="Z35" s="139" t="s">
        <v>148</v>
      </c>
      <c r="AA35" s="108">
        <f t="shared" si="8"/>
        <v>190.01</v>
      </c>
      <c r="AB35" s="174">
        <f>AO35</f>
        <v>276</v>
      </c>
      <c r="AC35" s="108">
        <f t="shared" si="10"/>
        <v>336.16999999999996</v>
      </c>
      <c r="AE35" s="90">
        <f>IF(D35="","",YEAR(IF(D35&gt;1900,D35,IF(D35&lt;11,D35+2000,D35+1900))))</f>
      </c>
      <c r="AF35" s="90">
        <f>IF(AE35="","",YEAR(W$1)-(AE35))</f>
      </c>
      <c r="AG35" s="84">
        <f>IF(AF35=17,10,IF(AF35=16,10,IF(AF35=15,20,IF(AF35=14,20,))))</f>
        <v>0</v>
      </c>
      <c r="AH35" s="84">
        <f>IF(AF35=17,20,IF(AF35=16,20,IF(AF35=15,30,IF(AF35=14,30,))))</f>
        <v>0</v>
      </c>
      <c r="AI35" s="45"/>
      <c r="AJ35" s="91">
        <f>ROUND(F35,1)</f>
        <v>81.3</v>
      </c>
      <c r="AK35" s="62">
        <f ca="1">IF(ISBLANK(F35),"",IF(F35&gt;0,IF(AJ35&gt;mkgmin,IF(AJ35&lt;mkgmax,ROUND(10^(mwert*LOG(OFFSET(AK35,0,-1)/mkgmax)^2),4),1),mscfmax)))</f>
        <v>1.218</v>
      </c>
      <c r="AL35" s="63">
        <f>IF(ISBLANK(F35),"",IF(C35="F",AK35+0.4,AK35))</f>
        <v>1.218</v>
      </c>
      <c r="AM35" s="64">
        <f>IF(B35="","",IF(F35="","",IF(MAX(AQ35:AS35)&lt;0,0,ROUND(MAX(AQ35:AS35)*$AL35,2))))</f>
        <v>146.16</v>
      </c>
      <c r="AN35" s="65">
        <f>IF(B35="","",IF(F35="","",IF(MAX(AT35:AV35)&lt;0,0,ROUND(MAX(AT35:AV35)*$AL35,2))))</f>
        <v>190.01</v>
      </c>
      <c r="AO35" s="66">
        <f>IF(B35="","",IF(F35="","",MAX(AQ35:AS35)+MAX(AT35:AV35)))</f>
        <v>276</v>
      </c>
      <c r="AP35" s="65">
        <f>IF(B35="","",IF(F35="","",AM35+AN35))</f>
        <v>336.16999999999996</v>
      </c>
      <c r="AQ35" s="67">
        <f>IF(I35="x",0,H35)</f>
        <v>112</v>
      </c>
      <c r="AR35" s="67">
        <f>IF(K35="x",0,J35)</f>
        <v>120</v>
      </c>
      <c r="AS35" s="67">
        <f>IF(M35="x",0,L35)</f>
        <v>0</v>
      </c>
      <c r="AT35" s="67">
        <f>IF(Q35="x",0,P35)</f>
        <v>150</v>
      </c>
      <c r="AU35" s="67">
        <f>IF(X35="x",0,W35)</f>
        <v>156</v>
      </c>
      <c r="AV35" s="67">
        <f>IF(Z35="x",0,Y35)</f>
        <v>0</v>
      </c>
      <c r="AW35" s="79" t="s">
        <v>45</v>
      </c>
      <c r="AX35" s="79" t="s">
        <v>46</v>
      </c>
    </row>
    <row r="36" spans="1:44" s="37" customFormat="1" ht="15" customHeight="1">
      <c r="A36" s="149"/>
      <c r="B36" s="142" t="s">
        <v>121</v>
      </c>
      <c r="C36" s="231" t="s">
        <v>90</v>
      </c>
      <c r="D36" s="231"/>
      <c r="E36" s="231"/>
      <c r="F36" s="231"/>
      <c r="G36" s="188">
        <f>G12</f>
        <v>1</v>
      </c>
      <c r="H36" s="211" t="s">
        <v>25</v>
      </c>
      <c r="I36" s="212"/>
      <c r="J36" s="212"/>
      <c r="K36" s="212"/>
      <c r="L36" s="212"/>
      <c r="M36" s="232"/>
      <c r="N36" s="233">
        <f t="shared" si="9"/>
        <v>146.16</v>
      </c>
      <c r="O36" s="234"/>
      <c r="P36" s="211" t="s">
        <v>26</v>
      </c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143">
        <f t="shared" si="8"/>
        <v>190.01</v>
      </c>
      <c r="AB36" s="144" t="s">
        <v>27</v>
      </c>
      <c r="AC36" s="143">
        <f t="shared" si="10"/>
        <v>336.16999999999996</v>
      </c>
      <c r="AE36" s="84" t="s">
        <v>96</v>
      </c>
      <c r="AF36" s="84">
        <f>G36</f>
        <v>1</v>
      </c>
      <c r="AG36" s="84"/>
      <c r="AH36" s="84"/>
      <c r="AI36" s="45"/>
      <c r="AJ36" s="85">
        <f>LARGE(AG31:AG35,1)</f>
        <v>0</v>
      </c>
      <c r="AK36" s="85">
        <f>LARGE(AH31:AH35,1)</f>
        <v>0</v>
      </c>
      <c r="AL36" s="84" t="s">
        <v>91</v>
      </c>
      <c r="AM36" s="68">
        <f>SUM(AM31:AM35)</f>
        <v>146.16</v>
      </c>
      <c r="AN36" s="65">
        <f>SUM(AN31:AN35)</f>
        <v>190.01</v>
      </c>
      <c r="AO36" s="69" t="s">
        <v>27</v>
      </c>
      <c r="AP36" s="65">
        <f>SUM(AP31:AP35)</f>
        <v>336.16999999999996</v>
      </c>
      <c r="AR36" s="46"/>
    </row>
    <row r="37" spans="1:42" s="37" customFormat="1" ht="15" customHeight="1">
      <c r="A37" s="149"/>
      <c r="B37" s="213" t="s">
        <v>150</v>
      </c>
      <c r="C37" s="213"/>
      <c r="D37" s="213"/>
      <c r="E37" s="213"/>
      <c r="F37" s="213"/>
      <c r="G37" s="214"/>
      <c r="H37" s="217" t="s">
        <v>89</v>
      </c>
      <c r="I37" s="218"/>
      <c r="J37" s="218"/>
      <c r="K37" s="218"/>
      <c r="L37" s="218"/>
      <c r="M37" s="219"/>
      <c r="N37" s="220">
        <f>AG37</f>
        <v>0</v>
      </c>
      <c r="O37" s="221"/>
      <c r="P37" s="222" t="s">
        <v>89</v>
      </c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134">
        <f>AH37</f>
        <v>0</v>
      </c>
      <c r="AB37" s="145" t="s">
        <v>28</v>
      </c>
      <c r="AC37" s="134">
        <f t="shared" si="10"/>
        <v>0</v>
      </c>
      <c r="AE37" s="84"/>
      <c r="AF37" s="84" t="s">
        <v>94</v>
      </c>
      <c r="AG37" s="84">
        <f>IF(G36=1,AJ36,IF(G36=2,SUM(AJ36:AJ37),IF(G36=3,SUM(AJ36:AJ38),0)))</f>
        <v>0</v>
      </c>
      <c r="AH37" s="84">
        <f>IF(G36=1,AK36,IF(G36=2,SUM(AK36:AK37),IF(G36=3,SUM(AK36:AK38),0)))</f>
        <v>0</v>
      </c>
      <c r="AI37" s="45"/>
      <c r="AJ37" s="85">
        <f>LARGE(AG31:AG35,2)</f>
        <v>0</v>
      </c>
      <c r="AK37" s="85">
        <f>LARGE(AH31:AH35,2)</f>
        <v>0</v>
      </c>
      <c r="AL37" s="84" t="s">
        <v>92</v>
      </c>
      <c r="AM37" s="77">
        <f>N37</f>
        <v>0</v>
      </c>
      <c r="AN37" s="76">
        <f>AA37</f>
        <v>0</v>
      </c>
      <c r="AO37" s="75" t="s">
        <v>28</v>
      </c>
      <c r="AP37" s="76">
        <f>SUM(AM37+AN37)</f>
        <v>0</v>
      </c>
    </row>
    <row r="38" spans="1:49" s="37" customFormat="1" ht="15" customHeight="1" thickBot="1">
      <c r="A38" s="150"/>
      <c r="B38" s="215"/>
      <c r="C38" s="215"/>
      <c r="D38" s="215"/>
      <c r="E38" s="215"/>
      <c r="F38" s="215"/>
      <c r="G38" s="216"/>
      <c r="H38" s="224" t="s">
        <v>29</v>
      </c>
      <c r="I38" s="225"/>
      <c r="J38" s="225"/>
      <c r="K38" s="225"/>
      <c r="L38" s="225"/>
      <c r="M38" s="226"/>
      <c r="N38" s="265">
        <f>AM38</f>
        <v>146.16</v>
      </c>
      <c r="O38" s="228"/>
      <c r="P38" s="224" t="s">
        <v>29</v>
      </c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147">
        <f>AN38</f>
        <v>190.01</v>
      </c>
      <c r="AB38" s="148" t="s">
        <v>29</v>
      </c>
      <c r="AC38" s="147">
        <f t="shared" si="10"/>
        <v>336.16999999999996</v>
      </c>
      <c r="AE38" s="45"/>
      <c r="AF38" s="45"/>
      <c r="AG38" s="45"/>
      <c r="AH38" s="45"/>
      <c r="AI38" s="45"/>
      <c r="AJ38" s="85">
        <f>LARGE(AG31:AG35,3)</f>
        <v>0</v>
      </c>
      <c r="AK38" s="85">
        <f>LARGE(AH31:AH35,3)</f>
        <v>0</v>
      </c>
      <c r="AL38" s="84" t="s">
        <v>93</v>
      </c>
      <c r="AM38" s="77">
        <f>AM36+AM37</f>
        <v>146.16</v>
      </c>
      <c r="AN38" s="76">
        <f>AN36+AN37</f>
        <v>190.01</v>
      </c>
      <c r="AO38" s="75" t="s">
        <v>29</v>
      </c>
      <c r="AP38" s="78">
        <f>AP36+AP37</f>
        <v>336.16999999999996</v>
      </c>
      <c r="AR38" s="46"/>
      <c r="AS38" s="102"/>
      <c r="AU38" s="103"/>
      <c r="AW38" s="103"/>
    </row>
    <row r="39" spans="1:50" s="37" customFormat="1" ht="15" customHeight="1">
      <c r="A39" s="272" t="s">
        <v>110</v>
      </c>
      <c r="B39" s="273"/>
      <c r="C39" s="274" t="s">
        <v>112</v>
      </c>
      <c r="D39" s="275"/>
      <c r="E39" s="275"/>
      <c r="F39" s="275"/>
      <c r="G39" s="276"/>
      <c r="H39" s="274" t="s">
        <v>36</v>
      </c>
      <c r="I39" s="275"/>
      <c r="J39" s="275"/>
      <c r="K39" s="275"/>
      <c r="L39" s="275"/>
      <c r="M39" s="276"/>
      <c r="N39" s="182" t="s">
        <v>115</v>
      </c>
      <c r="P39" s="152"/>
      <c r="Q39" s="183" t="str">
        <f>IF(B13="","",B13)</f>
        <v>KSV-Mödling</v>
      </c>
      <c r="R39" s="183"/>
      <c r="S39" s="183"/>
      <c r="T39" s="183"/>
      <c r="U39" s="183"/>
      <c r="V39" s="183"/>
      <c r="W39" s="152"/>
      <c r="X39" s="152"/>
      <c r="Z39" s="152"/>
      <c r="AA39" s="153"/>
      <c r="AB39" s="261">
        <f>IF(B13="","",AP14)</f>
        <v>1162.4</v>
      </c>
      <c r="AC39" s="262">
        <f>IF(I13="","",I13)</f>
      </c>
      <c r="AD39" s="187">
        <f>IF(B13="","",RANK($AB39,$AB$39:$AB$42))</f>
        <v>3</v>
      </c>
      <c r="AE39" s="185" t="s">
        <v>116</v>
      </c>
      <c r="AF39" s="45"/>
      <c r="AG39" s="45"/>
      <c r="AH39" s="45"/>
      <c r="AI39" s="45"/>
      <c r="AR39" s="46"/>
      <c r="AS39" s="72"/>
      <c r="AT39" s="80"/>
      <c r="AU39" s="72"/>
      <c r="AV39" s="80"/>
      <c r="AW39" s="72"/>
      <c r="AX39" s="80"/>
    </row>
    <row r="40" spans="1:35" s="37" customFormat="1" ht="15" customHeight="1">
      <c r="A40" s="266"/>
      <c r="B40" s="201"/>
      <c r="C40" s="197" t="s">
        <v>109</v>
      </c>
      <c r="D40" s="267"/>
      <c r="E40" s="267"/>
      <c r="F40" s="267"/>
      <c r="G40" s="268"/>
      <c r="H40" s="269"/>
      <c r="I40" s="270"/>
      <c r="J40" s="270"/>
      <c r="K40" s="270"/>
      <c r="L40" s="270"/>
      <c r="M40" s="271"/>
      <c r="N40" s="180"/>
      <c r="O40" s="181"/>
      <c r="P40" s="181"/>
      <c r="Q40" s="184" t="str">
        <f>IF(B21="","",B21)</f>
        <v>Tschechien</v>
      </c>
      <c r="R40" s="184"/>
      <c r="S40" s="184"/>
      <c r="T40" s="184"/>
      <c r="U40" s="184"/>
      <c r="V40" s="184"/>
      <c r="W40" s="181"/>
      <c r="X40" s="181"/>
      <c r="Z40" s="154"/>
      <c r="AA40" s="155"/>
      <c r="AB40" s="263">
        <f>IF(B21="","",AP22)</f>
        <v>1302.4099999999999</v>
      </c>
      <c r="AC40" s="264">
        <f>IF(I14="","",I14)</f>
      </c>
      <c r="AD40" s="187">
        <f>IF(B21="","",RANK($AB40,$AB$39:$AB$42))</f>
        <v>1</v>
      </c>
      <c r="AE40" s="89" t="s">
        <v>117</v>
      </c>
      <c r="AF40" s="45"/>
      <c r="AG40" s="45"/>
      <c r="AH40" s="45"/>
      <c r="AI40" s="45"/>
    </row>
    <row r="41" spans="1:35" s="37" customFormat="1" ht="15" customHeight="1">
      <c r="A41" s="197" t="s">
        <v>136</v>
      </c>
      <c r="B41" s="198"/>
      <c r="C41" s="199" t="s">
        <v>113</v>
      </c>
      <c r="D41" s="192"/>
      <c r="E41" s="192"/>
      <c r="F41" s="192"/>
      <c r="G41" s="191"/>
      <c r="H41" s="237" t="s">
        <v>114</v>
      </c>
      <c r="I41" s="238"/>
      <c r="J41" s="238"/>
      <c r="K41" s="238"/>
      <c r="L41" s="238"/>
      <c r="M41" s="239"/>
      <c r="N41" s="178"/>
      <c r="O41" s="179"/>
      <c r="P41" s="179"/>
      <c r="Q41" s="184" t="str">
        <f>IF(B29="","",B29)</f>
        <v>Slowakei</v>
      </c>
      <c r="R41" s="184"/>
      <c r="S41" s="184"/>
      <c r="T41" s="184"/>
      <c r="U41" s="184"/>
      <c r="V41" s="184"/>
      <c r="W41" s="179"/>
      <c r="X41" s="179"/>
      <c r="Z41" s="154"/>
      <c r="AA41" s="155"/>
      <c r="AB41" s="263">
        <f>IF(B29="","",AP30)</f>
        <v>1290.39</v>
      </c>
      <c r="AC41" s="264">
        <f>IF(I15="","",I15)</f>
      </c>
      <c r="AD41" s="187">
        <f>IF(B29="","",RANK($AB41,$AB$39:$AB$42))</f>
        <v>2</v>
      </c>
      <c r="AE41" s="74" t="s">
        <v>118</v>
      </c>
      <c r="AF41" s="45"/>
      <c r="AG41" s="45"/>
      <c r="AH41" s="45"/>
      <c r="AI41" s="45"/>
    </row>
    <row r="42" spans="1:42" s="37" customFormat="1" ht="15" customHeight="1">
      <c r="A42" s="200"/>
      <c r="B42" s="201"/>
      <c r="C42" s="197" t="s">
        <v>109</v>
      </c>
      <c r="D42" s="267"/>
      <c r="E42" s="267"/>
      <c r="F42" s="267"/>
      <c r="G42" s="268"/>
      <c r="H42" s="282"/>
      <c r="I42" s="283"/>
      <c r="J42" s="283"/>
      <c r="K42" s="283"/>
      <c r="L42" s="283"/>
      <c r="M42" s="284"/>
      <c r="N42" s="157"/>
      <c r="O42" s="156"/>
      <c r="P42" s="156"/>
      <c r="Q42" s="184" t="str">
        <f>IF(B37="","",B37)</f>
        <v>Außer Konk.</v>
      </c>
      <c r="R42" s="184"/>
      <c r="S42" s="184"/>
      <c r="T42" s="184"/>
      <c r="U42" s="184"/>
      <c r="V42" s="184"/>
      <c r="W42" s="156"/>
      <c r="X42" s="156"/>
      <c r="Z42" s="154"/>
      <c r="AA42" s="155"/>
      <c r="AB42" s="263">
        <f>IF(B37="","",AP38)</f>
        <v>336.16999999999996</v>
      </c>
      <c r="AC42" s="264">
        <f>IF(I16="","",I16)</f>
      </c>
      <c r="AD42" s="187">
        <f>IF(B37="","",RANK($AB42,$AB$39:$AB$42))</f>
        <v>4</v>
      </c>
      <c r="AE42" s="89" t="s">
        <v>119</v>
      </c>
      <c r="AF42" s="45"/>
      <c r="AG42" s="45"/>
      <c r="AH42" s="45"/>
      <c r="AI42" s="45"/>
      <c r="AP42" s="92"/>
    </row>
    <row r="43" spans="1:35" s="37" customFormat="1" ht="6" customHeight="1" thickBot="1">
      <c r="A43" s="175"/>
      <c r="B43" s="176"/>
      <c r="C43" s="177"/>
      <c r="D43" s="279"/>
      <c r="E43" s="279"/>
      <c r="F43" s="279"/>
      <c r="G43" s="280"/>
      <c r="H43" s="281"/>
      <c r="I43" s="279"/>
      <c r="J43" s="279"/>
      <c r="K43" s="279"/>
      <c r="L43" s="279"/>
      <c r="M43" s="280"/>
      <c r="N43" s="159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277"/>
      <c r="Z43" s="277"/>
      <c r="AA43" s="277"/>
      <c r="AB43" s="277"/>
      <c r="AC43" s="278"/>
      <c r="AD43" s="160"/>
      <c r="AE43" s="45"/>
      <c r="AF43" s="45"/>
      <c r="AG43" s="45"/>
      <c r="AH43" s="45"/>
      <c r="AI43" s="45"/>
    </row>
    <row r="44" spans="1:35" s="37" customFormat="1" ht="6" customHeight="1">
      <c r="A44" s="93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E44" s="45"/>
      <c r="AF44" s="45"/>
      <c r="AG44" s="45"/>
      <c r="AH44" s="45"/>
      <c r="AI44" s="45"/>
    </row>
    <row r="45" spans="2:31" ht="12.75">
      <c r="B45" s="109"/>
      <c r="AE45" s="186" t="s">
        <v>120</v>
      </c>
    </row>
    <row r="46" spans="1:33" ht="12.75">
      <c r="A46" s="80"/>
      <c r="C46" s="104"/>
      <c r="D46" s="104"/>
      <c r="E46" s="104"/>
      <c r="J46" s="80"/>
      <c r="K46" s="104"/>
      <c r="L46" s="104"/>
      <c r="M46" s="104"/>
      <c r="N46" s="104"/>
      <c r="X46" s="80"/>
      <c r="Y46" s="104"/>
      <c r="AG46" s="37"/>
    </row>
    <row r="47" spans="1:33" ht="12.75">
      <c r="A47" s="80"/>
      <c r="B47" s="80"/>
      <c r="C47" s="104"/>
      <c r="D47" s="104"/>
      <c r="E47" s="104"/>
      <c r="J47" s="80"/>
      <c r="K47" s="104"/>
      <c r="L47" s="104"/>
      <c r="M47" s="104"/>
      <c r="N47" s="104"/>
      <c r="X47" s="80"/>
      <c r="Y47" s="104"/>
      <c r="AG47" s="37"/>
    </row>
    <row r="48" spans="2:33" ht="12.75">
      <c r="B48" s="105"/>
      <c r="C48" s="105"/>
      <c r="J48" s="106"/>
      <c r="K48" s="106"/>
      <c r="L48" s="106"/>
      <c r="Y48" s="103"/>
      <c r="AG48" s="37"/>
    </row>
    <row r="49" spans="1:33" ht="12.75">
      <c r="A49" s="37"/>
      <c r="B49" s="37"/>
      <c r="J49" s="37"/>
      <c r="X49" s="37"/>
      <c r="AG49" s="37"/>
    </row>
    <row r="50" spans="1:25" ht="12.75">
      <c r="A50" s="72"/>
      <c r="B50" s="80"/>
      <c r="J50" s="72"/>
      <c r="L50" s="80"/>
      <c r="X50" s="72"/>
      <c r="Y50" s="80"/>
    </row>
    <row r="51" spans="1:33" ht="12.75">
      <c r="A51" s="80"/>
      <c r="B51" s="80"/>
      <c r="C51" s="104"/>
      <c r="D51" s="104"/>
      <c r="E51" s="104"/>
      <c r="J51" s="80"/>
      <c r="X51" s="80"/>
      <c r="AG51" s="37"/>
    </row>
    <row r="53" spans="2:29" ht="12.75">
      <c r="B53" s="210"/>
      <c r="C53" s="210"/>
      <c r="D53" s="210"/>
      <c r="E53" s="210"/>
      <c r="F53" s="210"/>
      <c r="G53" s="210"/>
      <c r="H53" s="210"/>
      <c r="I53" s="210"/>
      <c r="J53" s="210"/>
      <c r="K53" s="107"/>
      <c r="L53" s="107"/>
      <c r="M53" s="107"/>
      <c r="N53" s="107"/>
      <c r="O53" s="8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105"/>
    </row>
    <row r="54" spans="2:29" ht="12.75">
      <c r="B54" s="210"/>
      <c r="C54" s="210"/>
      <c r="D54" s="210"/>
      <c r="E54" s="210"/>
      <c r="F54" s="210"/>
      <c r="G54" s="210"/>
      <c r="H54" s="210"/>
      <c r="I54" s="210"/>
      <c r="J54" s="210"/>
      <c r="K54" s="107"/>
      <c r="L54" s="107"/>
      <c r="M54" s="107"/>
      <c r="N54" s="107"/>
      <c r="O54" s="8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105"/>
    </row>
    <row r="55" spans="2:29" ht="12.75">
      <c r="B55" s="210"/>
      <c r="C55" s="210"/>
      <c r="D55" s="210"/>
      <c r="E55" s="210"/>
      <c r="F55" s="210"/>
      <c r="G55" s="210"/>
      <c r="H55" s="210"/>
      <c r="I55" s="210"/>
      <c r="J55" s="210"/>
      <c r="K55" s="107"/>
      <c r="L55" s="107"/>
      <c r="M55" s="107"/>
      <c r="N55" s="107"/>
      <c r="O55" s="8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105"/>
    </row>
    <row r="56" spans="2:29" ht="12.75">
      <c r="B56" s="210"/>
      <c r="C56" s="210"/>
      <c r="D56" s="210"/>
      <c r="E56" s="210"/>
      <c r="F56" s="210"/>
      <c r="G56" s="210"/>
      <c r="H56" s="210"/>
      <c r="I56" s="210"/>
      <c r="J56" s="210"/>
      <c r="K56" s="107"/>
      <c r="L56" s="107"/>
      <c r="M56" s="107"/>
      <c r="N56" s="107"/>
      <c r="O56" s="8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105"/>
    </row>
  </sheetData>
  <sheetProtection/>
  <mergeCells count="118">
    <mergeCell ref="Y43:AC43"/>
    <mergeCell ref="C42:G42"/>
    <mergeCell ref="AB41:AC41"/>
    <mergeCell ref="AB42:AC42"/>
    <mergeCell ref="D43:G43"/>
    <mergeCell ref="H43:M43"/>
    <mergeCell ref="H42:M42"/>
    <mergeCell ref="A40:B40"/>
    <mergeCell ref="C40:G40"/>
    <mergeCell ref="H40:M40"/>
    <mergeCell ref="A39:B39"/>
    <mergeCell ref="H39:M39"/>
    <mergeCell ref="C39:G39"/>
    <mergeCell ref="AB39:AC39"/>
    <mergeCell ref="AB40:AC40"/>
    <mergeCell ref="P36:Z36"/>
    <mergeCell ref="B37:G38"/>
    <mergeCell ref="H37:M37"/>
    <mergeCell ref="N37:O37"/>
    <mergeCell ref="P37:Z37"/>
    <mergeCell ref="H38:M38"/>
    <mergeCell ref="N38:O38"/>
    <mergeCell ref="P38:Z38"/>
    <mergeCell ref="N35:O35"/>
    <mergeCell ref="C36:F36"/>
    <mergeCell ref="H36:M36"/>
    <mergeCell ref="N36:O36"/>
    <mergeCell ref="N31:O31"/>
    <mergeCell ref="N32:O32"/>
    <mergeCell ref="N33:O33"/>
    <mergeCell ref="N34:O34"/>
    <mergeCell ref="P20:Z20"/>
    <mergeCell ref="B21:G22"/>
    <mergeCell ref="H21:M21"/>
    <mergeCell ref="N21:O21"/>
    <mergeCell ref="P21:Z21"/>
    <mergeCell ref="H22:M22"/>
    <mergeCell ref="N22:O22"/>
    <mergeCell ref="P22:Z22"/>
    <mergeCell ref="N19:O19"/>
    <mergeCell ref="C20:F20"/>
    <mergeCell ref="H20:M20"/>
    <mergeCell ref="N20:O20"/>
    <mergeCell ref="N15:O15"/>
    <mergeCell ref="N16:O16"/>
    <mergeCell ref="N17:O17"/>
    <mergeCell ref="N18:O18"/>
    <mergeCell ref="P12:Z12"/>
    <mergeCell ref="B13:G14"/>
    <mergeCell ref="H13:M13"/>
    <mergeCell ref="N13:O13"/>
    <mergeCell ref="P13:Z13"/>
    <mergeCell ref="H14:M14"/>
    <mergeCell ref="N14:O14"/>
    <mergeCell ref="P14:Z14"/>
    <mergeCell ref="C12:F12"/>
    <mergeCell ref="H12:M12"/>
    <mergeCell ref="N12:O12"/>
    <mergeCell ref="N8:O8"/>
    <mergeCell ref="N9:O9"/>
    <mergeCell ref="N10:O10"/>
    <mergeCell ref="N11:O11"/>
    <mergeCell ref="P6:Q6"/>
    <mergeCell ref="W6:X6"/>
    <mergeCell ref="Y6:Z6"/>
    <mergeCell ref="N7:O7"/>
    <mergeCell ref="P5:AA5"/>
    <mergeCell ref="AE5:AH5"/>
    <mergeCell ref="AQ5:AS5"/>
    <mergeCell ref="AT5:AV5"/>
    <mergeCell ref="C5:C6"/>
    <mergeCell ref="H5:O5"/>
    <mergeCell ref="H6:I6"/>
    <mergeCell ref="J6:K6"/>
    <mergeCell ref="L6:M6"/>
    <mergeCell ref="N6:O6"/>
    <mergeCell ref="AJ1:AM1"/>
    <mergeCell ref="F2:N2"/>
    <mergeCell ref="W2:AA2"/>
    <mergeCell ref="AB2:AC3"/>
    <mergeCell ref="F3:N3"/>
    <mergeCell ref="W3:AA3"/>
    <mergeCell ref="AJ3:AM3"/>
    <mergeCell ref="W1:AA1"/>
    <mergeCell ref="A42:B42"/>
    <mergeCell ref="B1:B3"/>
    <mergeCell ref="D1:E1"/>
    <mergeCell ref="F1:O1"/>
    <mergeCell ref="C3:E3"/>
    <mergeCell ref="A5:A6"/>
    <mergeCell ref="B5:B6"/>
    <mergeCell ref="A41:B41"/>
    <mergeCell ref="C41:G41"/>
    <mergeCell ref="H41:M41"/>
    <mergeCell ref="N23:O23"/>
    <mergeCell ref="N24:O24"/>
    <mergeCell ref="N25:O25"/>
    <mergeCell ref="N26:O26"/>
    <mergeCell ref="N27:O27"/>
    <mergeCell ref="C28:F28"/>
    <mergeCell ref="H28:M28"/>
    <mergeCell ref="N28:O28"/>
    <mergeCell ref="B53:J53"/>
    <mergeCell ref="Q53:AB53"/>
    <mergeCell ref="P28:Z28"/>
    <mergeCell ref="B29:G30"/>
    <mergeCell ref="H29:M29"/>
    <mergeCell ref="N29:O29"/>
    <mergeCell ref="P29:Z29"/>
    <mergeCell ref="H30:M30"/>
    <mergeCell ref="N30:O30"/>
    <mergeCell ref="P30:Z30"/>
    <mergeCell ref="B56:J56"/>
    <mergeCell ref="Q56:AB56"/>
    <mergeCell ref="B54:J54"/>
    <mergeCell ref="Q54:AB54"/>
    <mergeCell ref="B55:J55"/>
    <mergeCell ref="Q55:AB55"/>
  </mergeCells>
  <printOptions/>
  <pageMargins left="0.75" right="0.75" top="0.49" bottom="0.37" header="0.4921259845" footer="0.37"/>
  <pageSetup fitToHeight="1" fitToWidth="1" horizontalDpi="300" verticalDpi="300" orientation="landscape" paperSize="9" scale="88" r:id="rId4"/>
  <rowBreaks count="1" manualBreakCount="1">
    <brk id="22" max="255" man="1"/>
  </rowBreaks>
  <ignoredErrors>
    <ignoredError sqref="Q4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2"/>
  <sheetViews>
    <sheetView showGridLines="0" workbookViewId="0" topLeftCell="A1">
      <selection activeCell="H5" sqref="H5:O5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3:24" ht="19.5" customHeight="1">
      <c r="C1" s="95" t="s">
        <v>97</v>
      </c>
      <c r="D1" s="285">
        <f>'Vorlage MM'!F2</f>
        <v>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/>
      <c r="P1" s="287"/>
      <c r="Q1" s="287"/>
      <c r="R1" s="287"/>
      <c r="T1" s="95" t="s">
        <v>98</v>
      </c>
      <c r="U1" s="288">
        <f>'Vorlage MM'!W1</f>
        <v>40873</v>
      </c>
      <c r="V1" s="288"/>
      <c r="W1" s="288"/>
      <c r="X1" s="288"/>
    </row>
    <row r="2" spans="3:24" ht="12" customHeight="1">
      <c r="C2" s="94"/>
      <c r="D2" s="285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/>
      <c r="P2" s="287"/>
      <c r="Q2" s="287"/>
      <c r="R2" s="287"/>
      <c r="T2" s="94"/>
      <c r="U2" s="96"/>
      <c r="V2" s="96"/>
      <c r="W2" s="96"/>
      <c r="X2" s="96"/>
    </row>
    <row r="3" spans="2:26" ht="17.25" customHeight="1">
      <c r="B3" s="2" t="s">
        <v>47</v>
      </c>
      <c r="C3" s="3"/>
      <c r="D3" s="3"/>
      <c r="E3" s="4"/>
      <c r="F3" s="5"/>
      <c r="G3" s="2" t="s">
        <v>48</v>
      </c>
      <c r="H3" s="6"/>
      <c r="I3" s="6"/>
      <c r="J3" s="6"/>
      <c r="K3" s="6"/>
      <c r="L3" s="6"/>
      <c r="M3" s="6"/>
      <c r="N3" s="6"/>
      <c r="O3" s="7"/>
      <c r="P3" s="4"/>
      <c r="Q3" s="5"/>
      <c r="R3" s="2" t="s">
        <v>48</v>
      </c>
      <c r="S3" s="6"/>
      <c r="T3" s="6"/>
      <c r="U3" s="6"/>
      <c r="V3" s="6"/>
      <c r="W3" s="6"/>
      <c r="X3" s="6"/>
      <c r="Y3" s="6"/>
      <c r="Z3" s="7"/>
    </row>
    <row r="4" spans="2:26" ht="16.5" customHeight="1">
      <c r="B4" s="8"/>
      <c r="E4" s="4"/>
      <c r="F4" s="5"/>
      <c r="G4" s="1" t="s">
        <v>49</v>
      </c>
      <c r="O4" s="5"/>
      <c r="P4" s="4"/>
      <c r="Q4" s="5"/>
      <c r="R4" s="1" t="s">
        <v>49</v>
      </c>
      <c r="Z4" s="5"/>
    </row>
    <row r="5" spans="2:26" s="10" customFormat="1" ht="25.5" customHeight="1">
      <c r="B5" s="294" t="s">
        <v>50</v>
      </c>
      <c r="C5" s="11" t="s">
        <v>51</v>
      </c>
      <c r="D5" s="12"/>
      <c r="E5" s="13"/>
      <c r="F5" s="14"/>
      <c r="G5" s="15" t="s">
        <v>52</v>
      </c>
      <c r="H5" s="293"/>
      <c r="I5" s="293"/>
      <c r="J5" s="293"/>
      <c r="K5" s="293"/>
      <c r="L5" s="293"/>
      <c r="M5" s="293"/>
      <c r="N5" s="293"/>
      <c r="O5" s="293"/>
      <c r="P5" s="13"/>
      <c r="Q5" s="14"/>
      <c r="R5" s="15" t="s">
        <v>52</v>
      </c>
      <c r="S5" s="293"/>
      <c r="T5" s="293"/>
      <c r="U5" s="293"/>
      <c r="V5" s="293"/>
      <c r="W5" s="293"/>
      <c r="X5" s="293"/>
      <c r="Y5" s="293"/>
      <c r="Z5" s="293"/>
    </row>
    <row r="6" spans="2:26" s="10" customFormat="1" ht="25.5" customHeight="1">
      <c r="B6" s="295"/>
      <c r="C6" s="16" t="s">
        <v>53</v>
      </c>
      <c r="D6" s="16" t="s">
        <v>54</v>
      </c>
      <c r="E6" s="13"/>
      <c r="F6" s="14"/>
      <c r="G6" s="15" t="s">
        <v>55</v>
      </c>
      <c r="H6" s="297"/>
      <c r="I6" s="297"/>
      <c r="J6" s="297"/>
      <c r="K6" s="297"/>
      <c r="L6" s="297"/>
      <c r="N6" s="17" t="s">
        <v>56</v>
      </c>
      <c r="O6" s="35"/>
      <c r="P6" s="13"/>
      <c r="Q6" s="14"/>
      <c r="R6" s="15" t="s">
        <v>55</v>
      </c>
      <c r="S6" s="297"/>
      <c r="T6" s="297"/>
      <c r="U6" s="297"/>
      <c r="V6" s="297"/>
      <c r="W6" s="297"/>
      <c r="Y6" s="17" t="s">
        <v>56</v>
      </c>
      <c r="Z6" s="35"/>
    </row>
    <row r="7" spans="2:26" ht="12.75" customHeight="1">
      <c r="B7" s="18" t="s">
        <v>57</v>
      </c>
      <c r="C7" s="19" t="s">
        <v>58</v>
      </c>
      <c r="D7" s="19" t="s">
        <v>59</v>
      </c>
      <c r="E7" s="4"/>
      <c r="F7" s="5"/>
      <c r="G7" s="290" t="s">
        <v>60</v>
      </c>
      <c r="H7" s="291"/>
      <c r="I7" s="292"/>
      <c r="J7" s="290" t="s">
        <v>61</v>
      </c>
      <c r="K7" s="291"/>
      <c r="L7" s="20"/>
      <c r="M7" s="298" t="s">
        <v>62</v>
      </c>
      <c r="N7" s="291"/>
      <c r="O7" s="296"/>
      <c r="P7" s="4"/>
      <c r="Q7" s="5"/>
      <c r="R7" s="290" t="s">
        <v>60</v>
      </c>
      <c r="S7" s="291"/>
      <c r="T7" s="292"/>
      <c r="U7" s="290" t="s">
        <v>61</v>
      </c>
      <c r="V7" s="291"/>
      <c r="W7" s="20"/>
      <c r="X7" s="298" t="s">
        <v>62</v>
      </c>
      <c r="Y7" s="291"/>
      <c r="Z7" s="296"/>
    </row>
    <row r="8" spans="2:26" ht="12.75" customHeight="1">
      <c r="B8" s="18" t="s">
        <v>63</v>
      </c>
      <c r="C8" s="19" t="s">
        <v>64</v>
      </c>
      <c r="D8" s="19" t="s">
        <v>65</v>
      </c>
      <c r="E8" s="4"/>
      <c r="F8" s="5"/>
      <c r="G8" s="291"/>
      <c r="H8" s="291"/>
      <c r="I8" s="292"/>
      <c r="J8" s="291"/>
      <c r="K8" s="291"/>
      <c r="L8" s="20"/>
      <c r="M8" s="291"/>
      <c r="N8" s="291"/>
      <c r="O8" s="296"/>
      <c r="P8" s="4"/>
      <c r="Q8" s="5"/>
      <c r="R8" s="291"/>
      <c r="S8" s="291"/>
      <c r="T8" s="292"/>
      <c r="U8" s="291"/>
      <c r="V8" s="291"/>
      <c r="W8" s="20"/>
      <c r="X8" s="291"/>
      <c r="Y8" s="291"/>
      <c r="Z8" s="296"/>
    </row>
    <row r="9" spans="2:26" ht="12.75" customHeight="1">
      <c r="B9" s="18" t="s">
        <v>66</v>
      </c>
      <c r="C9" s="19" t="s">
        <v>67</v>
      </c>
      <c r="D9" s="19" t="s">
        <v>68</v>
      </c>
      <c r="E9" s="4"/>
      <c r="F9" s="5"/>
      <c r="G9" s="290" t="s">
        <v>69</v>
      </c>
      <c r="H9" s="291"/>
      <c r="I9" s="292"/>
      <c r="J9" s="290" t="s">
        <v>61</v>
      </c>
      <c r="K9" s="291"/>
      <c r="L9" s="20"/>
      <c r="M9" s="298" t="s">
        <v>70</v>
      </c>
      <c r="N9" s="291"/>
      <c r="O9" s="289"/>
      <c r="P9" s="4"/>
      <c r="Q9" s="5"/>
      <c r="R9" s="290" t="s">
        <v>69</v>
      </c>
      <c r="S9" s="291"/>
      <c r="T9" s="243"/>
      <c r="U9" s="290" t="s">
        <v>61</v>
      </c>
      <c r="V9" s="291"/>
      <c r="W9" s="21"/>
      <c r="X9" s="298" t="s">
        <v>70</v>
      </c>
      <c r="Y9" s="291"/>
      <c r="Z9" s="289"/>
    </row>
    <row r="10" spans="2:26" ht="12.75" customHeight="1">
      <c r="B10" s="18" t="s">
        <v>71</v>
      </c>
      <c r="C10" s="19" t="s">
        <v>72</v>
      </c>
      <c r="D10" s="19" t="s">
        <v>73</v>
      </c>
      <c r="E10" s="4"/>
      <c r="F10" s="5"/>
      <c r="G10" s="291"/>
      <c r="H10" s="291"/>
      <c r="I10" s="292"/>
      <c r="J10" s="291"/>
      <c r="K10" s="291"/>
      <c r="L10" s="20"/>
      <c r="M10" s="291"/>
      <c r="N10" s="291"/>
      <c r="O10" s="289"/>
      <c r="P10" s="4"/>
      <c r="Q10" s="5"/>
      <c r="R10" s="291"/>
      <c r="S10" s="291"/>
      <c r="T10" s="243"/>
      <c r="U10" s="291"/>
      <c r="V10" s="291"/>
      <c r="W10" s="21"/>
      <c r="X10" s="291"/>
      <c r="Y10" s="291"/>
      <c r="Z10" s="289"/>
    </row>
    <row r="11" spans="2:26" ht="12.75" customHeight="1">
      <c r="B11" s="18" t="s">
        <v>74</v>
      </c>
      <c r="C11" s="19" t="s">
        <v>75</v>
      </c>
      <c r="D11" s="19" t="s">
        <v>76</v>
      </c>
      <c r="E11" s="4"/>
      <c r="F11" s="5"/>
      <c r="G11" s="290" t="s">
        <v>77</v>
      </c>
      <c r="H11" s="291"/>
      <c r="J11" s="22"/>
      <c r="K11" s="22"/>
      <c r="L11" s="22"/>
      <c r="M11" s="22"/>
      <c r="N11" s="22"/>
      <c r="O11" s="36"/>
      <c r="P11" s="4"/>
      <c r="Q11" s="5"/>
      <c r="R11" s="290" t="s">
        <v>77</v>
      </c>
      <c r="S11" s="291"/>
      <c r="U11" s="22"/>
      <c r="V11" s="22"/>
      <c r="W11" s="22"/>
      <c r="X11" s="22"/>
      <c r="Y11" s="22"/>
      <c r="Z11" s="22"/>
    </row>
    <row r="12" spans="2:26" ht="12.75" customHeight="1">
      <c r="B12" s="18" t="s">
        <v>78</v>
      </c>
      <c r="C12" s="19" t="s">
        <v>79</v>
      </c>
      <c r="D12" s="19" t="s">
        <v>80</v>
      </c>
      <c r="E12" s="4"/>
      <c r="F12" s="5"/>
      <c r="G12" s="291"/>
      <c r="H12" s="291"/>
      <c r="I12" s="300"/>
      <c r="J12" s="305"/>
      <c r="K12" s="305"/>
      <c r="L12" s="305"/>
      <c r="M12" s="305"/>
      <c r="N12" s="305"/>
      <c r="O12" s="305"/>
      <c r="P12" s="4"/>
      <c r="Q12" s="5"/>
      <c r="R12" s="291"/>
      <c r="S12" s="291"/>
      <c r="T12" s="300"/>
      <c r="U12" s="301"/>
      <c r="V12" s="301"/>
      <c r="W12" s="301"/>
      <c r="X12" s="301"/>
      <c r="Y12" s="301"/>
      <c r="Z12" s="301"/>
    </row>
    <row r="13" spans="3:26" s="15" customFormat="1" ht="15.75" customHeight="1">
      <c r="C13" s="23"/>
      <c r="D13" s="23"/>
      <c r="E13" s="24"/>
      <c r="G13" s="25"/>
      <c r="H13" s="25"/>
      <c r="I13" s="305"/>
      <c r="J13" s="305"/>
      <c r="K13" s="305"/>
      <c r="L13" s="305"/>
      <c r="M13" s="305"/>
      <c r="N13" s="305"/>
      <c r="O13" s="305"/>
      <c r="P13" s="26"/>
      <c r="Q13" s="27"/>
      <c r="R13" s="25"/>
      <c r="S13" s="25"/>
      <c r="T13" s="301"/>
      <c r="U13" s="301"/>
      <c r="V13" s="301"/>
      <c r="W13" s="301"/>
      <c r="X13" s="301"/>
      <c r="Y13" s="301"/>
      <c r="Z13" s="301"/>
    </row>
    <row r="14" spans="5:26" ht="12.75" customHeight="1">
      <c r="E14" s="4"/>
      <c r="F14" s="303" t="s">
        <v>81</v>
      </c>
      <c r="G14" s="291"/>
      <c r="H14" s="291"/>
      <c r="I14" s="291"/>
      <c r="J14" s="291"/>
      <c r="K14" s="291"/>
      <c r="L14" s="291"/>
      <c r="M14" s="291"/>
      <c r="N14" s="291"/>
      <c r="O14" s="291"/>
      <c r="P14" s="304"/>
      <c r="Q14" s="303" t="s">
        <v>81</v>
      </c>
      <c r="R14" s="291"/>
      <c r="S14" s="291"/>
      <c r="T14" s="291"/>
      <c r="U14" s="291"/>
      <c r="V14" s="291"/>
      <c r="W14" s="291"/>
      <c r="X14" s="291"/>
      <c r="Y14" s="291"/>
      <c r="Z14" s="291"/>
    </row>
    <row r="15" spans="2:26" ht="12.75" customHeight="1">
      <c r="B15" s="29" t="s">
        <v>82</v>
      </c>
      <c r="C15" s="30"/>
      <c r="D15" s="30"/>
      <c r="E15" s="4"/>
      <c r="F15" s="5"/>
      <c r="G15" s="15" t="s">
        <v>52</v>
      </c>
      <c r="H15" s="293"/>
      <c r="I15" s="293"/>
      <c r="J15" s="293"/>
      <c r="K15" s="293"/>
      <c r="L15" s="293"/>
      <c r="M15" s="293"/>
      <c r="N15" s="293"/>
      <c r="O15" s="293"/>
      <c r="P15" s="4"/>
      <c r="Q15" s="5"/>
      <c r="R15" s="15" t="s">
        <v>52</v>
      </c>
      <c r="S15" s="293"/>
      <c r="T15" s="293"/>
      <c r="U15" s="293"/>
      <c r="V15" s="293"/>
      <c r="W15" s="293"/>
      <c r="X15" s="293"/>
      <c r="Y15" s="293"/>
      <c r="Z15" s="293"/>
    </row>
    <row r="16" spans="2:26" ht="12.75" customHeight="1">
      <c r="B16" s="302"/>
      <c r="C16" s="302"/>
      <c r="D16" s="302"/>
      <c r="E16" s="4"/>
      <c r="F16" s="5"/>
      <c r="G16" s="290" t="s">
        <v>55</v>
      </c>
      <c r="H16" s="297"/>
      <c r="I16" s="297"/>
      <c r="J16" s="297"/>
      <c r="K16" s="297"/>
      <c r="L16" s="297"/>
      <c r="M16" s="298" t="s">
        <v>56</v>
      </c>
      <c r="N16" s="291"/>
      <c r="O16" s="289"/>
      <c r="P16" s="4"/>
      <c r="Q16" s="5"/>
      <c r="R16" s="290" t="s">
        <v>55</v>
      </c>
      <c r="S16" s="297"/>
      <c r="T16" s="297"/>
      <c r="U16" s="297"/>
      <c r="V16" s="297"/>
      <c r="W16" s="297"/>
      <c r="X16" s="298" t="s">
        <v>56</v>
      </c>
      <c r="Y16" s="291"/>
      <c r="Z16" s="289"/>
    </row>
    <row r="17" spans="2:26" ht="12.75" customHeight="1">
      <c r="B17" s="302"/>
      <c r="C17" s="302"/>
      <c r="D17" s="302"/>
      <c r="E17" s="4"/>
      <c r="F17" s="5"/>
      <c r="G17" s="291"/>
      <c r="H17" s="297"/>
      <c r="I17" s="297"/>
      <c r="J17" s="297"/>
      <c r="K17" s="297"/>
      <c r="L17" s="297"/>
      <c r="M17" s="291"/>
      <c r="N17" s="291"/>
      <c r="O17" s="289"/>
      <c r="P17" s="4"/>
      <c r="Q17" s="5"/>
      <c r="R17" s="291"/>
      <c r="S17" s="297"/>
      <c r="T17" s="297"/>
      <c r="U17" s="297"/>
      <c r="V17" s="297"/>
      <c r="W17" s="297"/>
      <c r="X17" s="291"/>
      <c r="Y17" s="291"/>
      <c r="Z17" s="289"/>
    </row>
    <row r="18" spans="2:26" ht="12.75" customHeight="1">
      <c r="B18" s="302"/>
      <c r="C18" s="302"/>
      <c r="D18" s="302"/>
      <c r="E18" s="4"/>
      <c r="F18" s="5"/>
      <c r="G18" s="290" t="s">
        <v>60</v>
      </c>
      <c r="H18" s="290"/>
      <c r="I18" s="292"/>
      <c r="J18" s="290" t="s">
        <v>61</v>
      </c>
      <c r="K18" s="291"/>
      <c r="L18" s="20"/>
      <c r="M18" s="298" t="s">
        <v>62</v>
      </c>
      <c r="N18" s="291"/>
      <c r="O18" s="296"/>
      <c r="P18" s="4"/>
      <c r="Q18" s="5"/>
      <c r="R18" s="290" t="s">
        <v>60</v>
      </c>
      <c r="S18" s="290"/>
      <c r="T18" s="292"/>
      <c r="U18" s="290" t="s">
        <v>61</v>
      </c>
      <c r="V18" s="291"/>
      <c r="W18" s="20"/>
      <c r="X18" s="298" t="s">
        <v>62</v>
      </c>
      <c r="Y18" s="291"/>
      <c r="Z18" s="296"/>
    </row>
    <row r="19" spans="2:26" ht="12.75" customHeight="1">
      <c r="B19" s="302"/>
      <c r="C19" s="302"/>
      <c r="D19" s="302"/>
      <c r="E19" s="4"/>
      <c r="F19" s="5"/>
      <c r="G19" s="291"/>
      <c r="H19" s="290"/>
      <c r="I19" s="292"/>
      <c r="J19" s="291"/>
      <c r="K19" s="291"/>
      <c r="L19" s="20"/>
      <c r="M19" s="291"/>
      <c r="N19" s="291"/>
      <c r="O19" s="296"/>
      <c r="P19" s="4"/>
      <c r="Q19" s="5"/>
      <c r="R19" s="291"/>
      <c r="S19" s="290"/>
      <c r="T19" s="292"/>
      <c r="U19" s="291"/>
      <c r="V19" s="291"/>
      <c r="W19" s="20"/>
      <c r="X19" s="291"/>
      <c r="Y19" s="291"/>
      <c r="Z19" s="296"/>
    </row>
    <row r="20" spans="2:26" ht="12.75" customHeight="1">
      <c r="B20" s="302"/>
      <c r="C20" s="302"/>
      <c r="D20" s="302"/>
      <c r="E20" s="4"/>
      <c r="F20" s="5"/>
      <c r="G20" s="290" t="s">
        <v>69</v>
      </c>
      <c r="H20" s="291"/>
      <c r="I20" s="292"/>
      <c r="J20" s="290" t="s">
        <v>61</v>
      </c>
      <c r="K20" s="291"/>
      <c r="L20" s="20"/>
      <c r="M20" s="298" t="s">
        <v>70</v>
      </c>
      <c r="N20" s="291"/>
      <c r="O20" s="289"/>
      <c r="P20" s="4"/>
      <c r="Q20" s="5"/>
      <c r="R20" s="290" t="s">
        <v>69</v>
      </c>
      <c r="S20" s="291"/>
      <c r="T20" s="292"/>
      <c r="U20" s="290" t="s">
        <v>61</v>
      </c>
      <c r="V20" s="291"/>
      <c r="W20" s="20"/>
      <c r="X20" s="298" t="s">
        <v>70</v>
      </c>
      <c r="Y20" s="291"/>
      <c r="Z20" s="289"/>
    </row>
    <row r="21" spans="2:26" ht="12.75" customHeight="1">
      <c r="B21" s="302"/>
      <c r="C21" s="302"/>
      <c r="D21" s="302"/>
      <c r="E21" s="4"/>
      <c r="F21" s="5"/>
      <c r="G21" s="291"/>
      <c r="H21" s="291"/>
      <c r="I21" s="292"/>
      <c r="J21" s="291"/>
      <c r="K21" s="291"/>
      <c r="L21" s="20"/>
      <c r="M21" s="291"/>
      <c r="N21" s="291"/>
      <c r="O21" s="289"/>
      <c r="P21" s="4"/>
      <c r="Q21" s="5"/>
      <c r="R21" s="291"/>
      <c r="S21" s="291"/>
      <c r="T21" s="292"/>
      <c r="U21" s="291"/>
      <c r="V21" s="291"/>
      <c r="W21" s="20"/>
      <c r="X21" s="291"/>
      <c r="Y21" s="291"/>
      <c r="Z21" s="289"/>
    </row>
    <row r="22" spans="2:26" ht="12.75" customHeight="1">
      <c r="B22" s="302"/>
      <c r="C22" s="302"/>
      <c r="D22" s="302"/>
      <c r="E22" s="4"/>
      <c r="F22" s="5"/>
      <c r="G22" s="290" t="s">
        <v>77</v>
      </c>
      <c r="H22" s="291"/>
      <c r="J22" s="22"/>
      <c r="K22" s="22"/>
      <c r="L22" s="22"/>
      <c r="M22" s="22"/>
      <c r="N22" s="22"/>
      <c r="O22" s="22"/>
      <c r="P22" s="4"/>
      <c r="Q22" s="5"/>
      <c r="R22" s="290" t="s">
        <v>77</v>
      </c>
      <c r="S22" s="291"/>
      <c r="U22" s="22"/>
      <c r="V22" s="22"/>
      <c r="W22" s="22"/>
      <c r="X22" s="22"/>
      <c r="Y22" s="22"/>
      <c r="Z22" s="22"/>
    </row>
    <row r="23" spans="2:26" ht="12.75" customHeight="1">
      <c r="B23" s="302"/>
      <c r="C23" s="302"/>
      <c r="D23" s="302"/>
      <c r="E23" s="4"/>
      <c r="F23" s="5"/>
      <c r="G23" s="291"/>
      <c r="H23" s="291"/>
      <c r="I23" s="300"/>
      <c r="J23" s="301"/>
      <c r="K23" s="301"/>
      <c r="L23" s="301"/>
      <c r="M23" s="301"/>
      <c r="N23" s="301"/>
      <c r="O23" s="301"/>
      <c r="P23" s="4"/>
      <c r="Q23" s="5"/>
      <c r="R23" s="291"/>
      <c r="S23" s="291"/>
      <c r="T23" s="300"/>
      <c r="U23" s="301"/>
      <c r="V23" s="301"/>
      <c r="W23" s="301"/>
      <c r="X23" s="301"/>
      <c r="Y23" s="301"/>
      <c r="Z23" s="301"/>
    </row>
    <row r="24" spans="2:26" s="15" customFormat="1" ht="15.75" customHeight="1">
      <c r="B24" s="302"/>
      <c r="C24" s="302"/>
      <c r="D24" s="302"/>
      <c r="E24" s="24"/>
      <c r="F24" s="27"/>
      <c r="G24" s="25"/>
      <c r="H24" s="25"/>
      <c r="I24" s="301"/>
      <c r="J24" s="301"/>
      <c r="K24" s="301"/>
      <c r="L24" s="301"/>
      <c r="M24" s="301"/>
      <c r="N24" s="301"/>
      <c r="O24" s="301"/>
      <c r="P24" s="26"/>
      <c r="Q24" s="27"/>
      <c r="R24" s="25"/>
      <c r="S24" s="25"/>
      <c r="T24" s="301"/>
      <c r="U24" s="301"/>
      <c r="V24" s="301"/>
      <c r="W24" s="301"/>
      <c r="X24" s="301"/>
      <c r="Y24" s="301"/>
      <c r="Z24" s="301"/>
    </row>
    <row r="25" spans="2:26" ht="12.75" customHeight="1">
      <c r="B25" s="302"/>
      <c r="C25" s="302"/>
      <c r="D25" s="302"/>
      <c r="E25" s="4"/>
      <c r="F25" s="303" t="s">
        <v>81</v>
      </c>
      <c r="G25" s="291"/>
      <c r="H25" s="291"/>
      <c r="I25" s="291"/>
      <c r="J25" s="291"/>
      <c r="K25" s="291"/>
      <c r="L25" s="291"/>
      <c r="M25" s="291"/>
      <c r="N25" s="291"/>
      <c r="O25" s="291"/>
      <c r="P25" s="304"/>
      <c r="Q25" s="303" t="s">
        <v>81</v>
      </c>
      <c r="R25" s="291"/>
      <c r="S25" s="291"/>
      <c r="T25" s="291"/>
      <c r="U25" s="291"/>
      <c r="V25" s="291"/>
      <c r="W25" s="291"/>
      <c r="X25" s="291"/>
      <c r="Y25" s="291"/>
      <c r="Z25" s="291"/>
    </row>
    <row r="26" spans="2:26" ht="12.75" customHeight="1">
      <c r="B26" s="302"/>
      <c r="C26" s="302"/>
      <c r="D26" s="302"/>
      <c r="E26" s="4"/>
      <c r="F26" s="5"/>
      <c r="G26" s="15" t="s">
        <v>52</v>
      </c>
      <c r="H26" s="293"/>
      <c r="I26" s="293"/>
      <c r="J26" s="293"/>
      <c r="K26" s="293"/>
      <c r="L26" s="293"/>
      <c r="M26" s="293"/>
      <c r="N26" s="293"/>
      <c r="O26" s="293"/>
      <c r="P26" s="4"/>
      <c r="Q26" s="5"/>
      <c r="R26" s="15" t="s">
        <v>52</v>
      </c>
      <c r="S26" s="293"/>
      <c r="T26" s="293"/>
      <c r="U26" s="293"/>
      <c r="V26" s="293"/>
      <c r="W26" s="293"/>
      <c r="X26" s="293"/>
      <c r="Y26" s="293"/>
      <c r="Z26" s="293"/>
    </row>
    <row r="27" spans="2:26" ht="12.75" customHeight="1">
      <c r="B27" s="302"/>
      <c r="C27" s="302"/>
      <c r="D27" s="302"/>
      <c r="E27" s="4"/>
      <c r="F27" s="5"/>
      <c r="G27" s="290" t="s">
        <v>55</v>
      </c>
      <c r="H27" s="205"/>
      <c r="I27" s="205"/>
      <c r="J27" s="205"/>
      <c r="K27" s="205"/>
      <c r="L27" s="31"/>
      <c r="M27" s="290" t="s">
        <v>56</v>
      </c>
      <c r="N27" s="291"/>
      <c r="O27" s="289"/>
      <c r="P27" s="4"/>
      <c r="Q27" s="5"/>
      <c r="R27" s="290" t="s">
        <v>55</v>
      </c>
      <c r="S27" s="205"/>
      <c r="T27" s="205"/>
      <c r="U27" s="205"/>
      <c r="V27" s="205"/>
      <c r="W27" s="31"/>
      <c r="X27" s="290" t="s">
        <v>56</v>
      </c>
      <c r="Y27" s="291"/>
      <c r="Z27" s="289"/>
    </row>
    <row r="28" spans="2:26" ht="12.75" customHeight="1">
      <c r="B28" s="302"/>
      <c r="C28" s="302"/>
      <c r="D28" s="302"/>
      <c r="E28" s="4"/>
      <c r="F28" s="5"/>
      <c r="G28" s="291"/>
      <c r="H28" s="205"/>
      <c r="I28" s="205"/>
      <c r="J28" s="205"/>
      <c r="K28" s="205"/>
      <c r="L28" s="31"/>
      <c r="M28" s="291"/>
      <c r="N28" s="291"/>
      <c r="O28" s="205"/>
      <c r="P28" s="4"/>
      <c r="Q28" s="5"/>
      <c r="R28" s="291"/>
      <c r="S28" s="205"/>
      <c r="T28" s="205"/>
      <c r="U28" s="205"/>
      <c r="V28" s="205"/>
      <c r="W28" s="31"/>
      <c r="X28" s="291"/>
      <c r="Y28" s="291"/>
      <c r="Z28" s="205"/>
    </row>
    <row r="29" spans="2:26" ht="12.75" customHeight="1">
      <c r="B29" s="302"/>
      <c r="C29" s="302"/>
      <c r="D29" s="302"/>
      <c r="E29" s="4"/>
      <c r="F29" s="5"/>
      <c r="G29" s="290" t="s">
        <v>60</v>
      </c>
      <c r="H29" s="290"/>
      <c r="I29" s="292"/>
      <c r="J29" s="290" t="s">
        <v>61</v>
      </c>
      <c r="K29" s="291"/>
      <c r="L29" s="20"/>
      <c r="M29" s="298" t="s">
        <v>62</v>
      </c>
      <c r="N29" s="299"/>
      <c r="O29" s="296"/>
      <c r="P29" s="4"/>
      <c r="Q29" s="5"/>
      <c r="R29" s="290" t="s">
        <v>60</v>
      </c>
      <c r="S29" s="290"/>
      <c r="T29" s="292"/>
      <c r="U29" s="290" t="s">
        <v>61</v>
      </c>
      <c r="V29" s="291"/>
      <c r="W29" s="20"/>
      <c r="X29" s="298" t="s">
        <v>62</v>
      </c>
      <c r="Y29" s="299"/>
      <c r="Z29" s="296"/>
    </row>
    <row r="30" spans="2:26" ht="12.75" customHeight="1">
      <c r="B30" s="302"/>
      <c r="C30" s="302"/>
      <c r="D30" s="302"/>
      <c r="E30" s="4"/>
      <c r="F30" s="5"/>
      <c r="G30" s="291"/>
      <c r="H30" s="290"/>
      <c r="I30" s="292"/>
      <c r="J30" s="291"/>
      <c r="K30" s="291"/>
      <c r="L30" s="20"/>
      <c r="M30" s="299"/>
      <c r="N30" s="299"/>
      <c r="O30" s="296"/>
      <c r="P30" s="4"/>
      <c r="Q30" s="5"/>
      <c r="R30" s="291"/>
      <c r="S30" s="290"/>
      <c r="T30" s="292"/>
      <c r="U30" s="291"/>
      <c r="V30" s="291"/>
      <c r="W30" s="20"/>
      <c r="X30" s="299"/>
      <c r="Y30" s="299"/>
      <c r="Z30" s="296"/>
    </row>
    <row r="31" spans="2:26" ht="12.75" customHeight="1">
      <c r="B31" s="302"/>
      <c r="C31" s="302"/>
      <c r="D31" s="302"/>
      <c r="E31" s="4"/>
      <c r="F31" s="5"/>
      <c r="G31" s="290" t="s">
        <v>69</v>
      </c>
      <c r="H31" s="290"/>
      <c r="I31" s="292"/>
      <c r="J31" s="290" t="s">
        <v>61</v>
      </c>
      <c r="K31" s="291"/>
      <c r="L31" s="20"/>
      <c r="M31" s="298" t="s">
        <v>70</v>
      </c>
      <c r="N31" s="299"/>
      <c r="O31" s="289"/>
      <c r="P31" s="4"/>
      <c r="Q31" s="5"/>
      <c r="R31" s="290" t="s">
        <v>69</v>
      </c>
      <c r="S31" s="290"/>
      <c r="T31" s="292"/>
      <c r="U31" s="290" t="s">
        <v>61</v>
      </c>
      <c r="V31" s="291"/>
      <c r="W31" s="20"/>
      <c r="X31" s="298" t="s">
        <v>70</v>
      </c>
      <c r="Y31" s="299"/>
      <c r="Z31" s="289"/>
    </row>
    <row r="32" spans="2:26" ht="12.75" customHeight="1">
      <c r="B32" s="302"/>
      <c r="C32" s="302"/>
      <c r="D32" s="302"/>
      <c r="E32" s="4"/>
      <c r="F32" s="5"/>
      <c r="G32" s="291"/>
      <c r="H32" s="290"/>
      <c r="I32" s="292"/>
      <c r="J32" s="291"/>
      <c r="K32" s="291"/>
      <c r="L32" s="20"/>
      <c r="M32" s="299"/>
      <c r="N32" s="299"/>
      <c r="O32" s="289"/>
      <c r="P32" s="4"/>
      <c r="Q32" s="5"/>
      <c r="R32" s="291"/>
      <c r="S32" s="290"/>
      <c r="T32" s="292"/>
      <c r="U32" s="291"/>
      <c r="V32" s="291"/>
      <c r="W32" s="20"/>
      <c r="X32" s="299"/>
      <c r="Y32" s="299"/>
      <c r="Z32" s="289"/>
    </row>
    <row r="33" spans="2:26" ht="12.75" customHeight="1">
      <c r="B33" s="302"/>
      <c r="C33" s="302"/>
      <c r="D33" s="302"/>
      <c r="E33" s="4"/>
      <c r="G33" s="290" t="s">
        <v>77</v>
      </c>
      <c r="H33" s="291"/>
      <c r="J33" s="22"/>
      <c r="K33" s="22"/>
      <c r="L33" s="22"/>
      <c r="M33" s="22"/>
      <c r="N33" s="22"/>
      <c r="O33" s="22"/>
      <c r="P33" s="4"/>
      <c r="R33" s="290" t="s">
        <v>77</v>
      </c>
      <c r="S33" s="291"/>
      <c r="U33" s="22"/>
      <c r="V33" s="22"/>
      <c r="W33" s="22"/>
      <c r="X33" s="22"/>
      <c r="Y33" s="22"/>
      <c r="Z33" s="22"/>
    </row>
    <row r="34" spans="2:26" s="10" customFormat="1" ht="12.75" customHeight="1">
      <c r="B34" s="302"/>
      <c r="C34" s="302"/>
      <c r="D34" s="302"/>
      <c r="E34" s="13"/>
      <c r="G34" s="291"/>
      <c r="H34" s="291"/>
      <c r="I34" s="300"/>
      <c r="J34" s="301"/>
      <c r="K34" s="301"/>
      <c r="L34" s="301"/>
      <c r="M34" s="301"/>
      <c r="N34" s="301"/>
      <c r="O34" s="301"/>
      <c r="P34" s="13"/>
      <c r="R34" s="291"/>
      <c r="S34" s="291"/>
      <c r="T34" s="300"/>
      <c r="U34" s="301"/>
      <c r="V34" s="301"/>
      <c r="W34" s="301"/>
      <c r="X34" s="301"/>
      <c r="Y34" s="301"/>
      <c r="Z34" s="301"/>
    </row>
    <row r="35" spans="2:26" s="20" customFormat="1" ht="15.75" customHeight="1">
      <c r="B35" s="302"/>
      <c r="C35" s="302"/>
      <c r="D35" s="302"/>
      <c r="E35" s="28"/>
      <c r="F35" s="27"/>
      <c r="G35" s="3"/>
      <c r="H35" s="3"/>
      <c r="I35" s="301"/>
      <c r="J35" s="301"/>
      <c r="K35" s="301"/>
      <c r="L35" s="301"/>
      <c r="M35" s="301"/>
      <c r="N35" s="301"/>
      <c r="O35" s="301"/>
      <c r="P35" s="32"/>
      <c r="Q35" s="27"/>
      <c r="R35" s="3"/>
      <c r="S35" s="3"/>
      <c r="T35" s="301"/>
      <c r="U35" s="301"/>
      <c r="V35" s="301"/>
      <c r="W35" s="301"/>
      <c r="X35" s="301"/>
      <c r="Y35" s="301"/>
      <c r="Z35" s="301"/>
    </row>
    <row r="36" spans="2:26" ht="12.75" customHeight="1">
      <c r="B36" s="302"/>
      <c r="C36" s="302"/>
      <c r="D36" s="302"/>
      <c r="E36" s="4"/>
      <c r="F36" s="303" t="s">
        <v>81</v>
      </c>
      <c r="G36" s="291"/>
      <c r="H36" s="291"/>
      <c r="I36" s="291"/>
      <c r="J36" s="291"/>
      <c r="K36" s="291"/>
      <c r="L36" s="291"/>
      <c r="M36" s="291"/>
      <c r="N36" s="291"/>
      <c r="O36" s="291"/>
      <c r="P36" s="304"/>
      <c r="Q36" s="303" t="s">
        <v>81</v>
      </c>
      <c r="R36" s="291"/>
      <c r="S36" s="291"/>
      <c r="T36" s="291"/>
      <c r="U36" s="291"/>
      <c r="V36" s="291"/>
      <c r="W36" s="291"/>
      <c r="X36" s="291"/>
      <c r="Y36" s="291"/>
      <c r="Z36" s="291"/>
    </row>
    <row r="37" spans="2:26" ht="12.75" customHeight="1">
      <c r="B37" s="302"/>
      <c r="C37" s="302"/>
      <c r="D37" s="302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83</v>
      </c>
      <c r="U37" s="293" t="str">
        <f>'Vorlage MM'!A41</f>
        <v>Huber Anton</v>
      </c>
      <c r="V37" s="293"/>
      <c r="W37" s="293"/>
      <c r="X37" s="293"/>
      <c r="Y37" s="293"/>
      <c r="Z37" s="293"/>
    </row>
    <row r="38" spans="2:26" ht="12.75" customHeight="1">
      <c r="B38" s="302"/>
      <c r="C38" s="302"/>
      <c r="D38" s="302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93" t="str">
        <f>'Vorlage MM'!C41</f>
        <v>Seitenrichter 2:</v>
      </c>
      <c r="V38" s="293"/>
      <c r="W38" s="293"/>
      <c r="X38" s="293"/>
      <c r="Y38" s="293"/>
      <c r="Z38" s="293"/>
    </row>
    <row r="39" spans="2:26" ht="12.75" customHeight="1">
      <c r="B39" s="302"/>
      <c r="C39" s="302"/>
      <c r="D39" s="302"/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84</v>
      </c>
      <c r="T39" s="34"/>
      <c r="U39" s="293"/>
      <c r="V39" s="293"/>
      <c r="W39" s="293"/>
      <c r="X39" s="293"/>
      <c r="Y39" s="293"/>
      <c r="Z39" s="293"/>
    </row>
    <row r="40" spans="2:26" ht="12.75" customHeight="1">
      <c r="B40" s="302"/>
      <c r="C40" s="302"/>
      <c r="D40" s="302"/>
      <c r="E40" s="4"/>
      <c r="G40" s="20"/>
      <c r="H40" s="20"/>
      <c r="I40" s="20"/>
      <c r="J40" s="20"/>
      <c r="K40" s="20"/>
      <c r="L40" s="20"/>
      <c r="M40" s="20"/>
      <c r="N40" s="20"/>
      <c r="O40" s="20"/>
      <c r="P40" s="4"/>
      <c r="R40" s="33"/>
      <c r="U40" s="293" t="str">
        <f>'Vorlage MM'!H41</f>
        <v>Listenführer</v>
      </c>
      <c r="V40" s="293"/>
      <c r="W40" s="293"/>
      <c r="X40" s="293"/>
      <c r="Y40" s="293"/>
      <c r="Z40" s="293"/>
    </row>
    <row r="41" spans="5:26" ht="12.75" customHeight="1">
      <c r="E41" s="4"/>
      <c r="G41" s="20"/>
      <c r="H41" s="20"/>
      <c r="I41" s="20"/>
      <c r="J41" s="20"/>
      <c r="K41" s="20"/>
      <c r="L41" s="20"/>
      <c r="M41" s="20"/>
      <c r="N41" s="20"/>
      <c r="O41" s="20"/>
      <c r="P41" s="4"/>
      <c r="R41" s="33" t="s">
        <v>84</v>
      </c>
      <c r="U41" s="293"/>
      <c r="V41" s="293"/>
      <c r="W41" s="293"/>
      <c r="X41" s="293"/>
      <c r="Y41" s="293"/>
      <c r="Z41" s="293"/>
    </row>
    <row r="42" spans="5:16" ht="17.25" customHeight="1">
      <c r="E42" s="5"/>
      <c r="P42" s="5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10">
    <mergeCell ref="I12:O13"/>
    <mergeCell ref="H15:O15"/>
    <mergeCell ref="Q14:Z14"/>
    <mergeCell ref="S16:W17"/>
    <mergeCell ref="R11:S12"/>
    <mergeCell ref="G11:H12"/>
    <mergeCell ref="T12:Z13"/>
    <mergeCell ref="G31:H32"/>
    <mergeCell ref="S15:Z15"/>
    <mergeCell ref="H26:O26"/>
    <mergeCell ref="F14:P14"/>
    <mergeCell ref="F25:P25"/>
    <mergeCell ref="Q25:Z25"/>
    <mergeCell ref="R22:S23"/>
    <mergeCell ref="O16:O17"/>
    <mergeCell ref="G20:H21"/>
    <mergeCell ref="G16:G17"/>
    <mergeCell ref="F36:P36"/>
    <mergeCell ref="Q36:Z36"/>
    <mergeCell ref="U37:Z37"/>
    <mergeCell ref="U31:V32"/>
    <mergeCell ref="T31:T32"/>
    <mergeCell ref="G33:H34"/>
    <mergeCell ref="I34:O35"/>
    <mergeCell ref="T34:Z35"/>
    <mergeCell ref="M31:N32"/>
    <mergeCell ref="J31:K32"/>
    <mergeCell ref="I18:I19"/>
    <mergeCell ref="H16:L17"/>
    <mergeCell ref="J20:K21"/>
    <mergeCell ref="I20:I21"/>
    <mergeCell ref="U40:Z41"/>
    <mergeCell ref="B16:D40"/>
    <mergeCell ref="R33:S34"/>
    <mergeCell ref="U38:Z39"/>
    <mergeCell ref="Z29:Z30"/>
    <mergeCell ref="R31:S32"/>
    <mergeCell ref="X31:Y32"/>
    <mergeCell ref="Z31:Z32"/>
    <mergeCell ref="R16:R17"/>
    <mergeCell ref="X16:Y17"/>
    <mergeCell ref="T23:Z24"/>
    <mergeCell ref="Z16:Z17"/>
    <mergeCell ref="X29:Y30"/>
    <mergeCell ref="R27:R28"/>
    <mergeCell ref="S27:V28"/>
    <mergeCell ref="X27:Y28"/>
    <mergeCell ref="U29:V30"/>
    <mergeCell ref="Z27:Z28"/>
    <mergeCell ref="S26:Z26"/>
    <mergeCell ref="R29:S30"/>
    <mergeCell ref="T29:T30"/>
    <mergeCell ref="Z18:Z19"/>
    <mergeCell ref="R20:S21"/>
    <mergeCell ref="X20:Y21"/>
    <mergeCell ref="Z20:Z21"/>
    <mergeCell ref="R18:S19"/>
    <mergeCell ref="T18:T19"/>
    <mergeCell ref="X18:Y19"/>
    <mergeCell ref="U20:V21"/>
    <mergeCell ref="U18:V19"/>
    <mergeCell ref="T20:T21"/>
    <mergeCell ref="X7:Y8"/>
    <mergeCell ref="Z7:Z8"/>
    <mergeCell ref="S6:W6"/>
    <mergeCell ref="X9:Y10"/>
    <mergeCell ref="Z9:Z10"/>
    <mergeCell ref="R9:S10"/>
    <mergeCell ref="U9:V10"/>
    <mergeCell ref="T9:T10"/>
    <mergeCell ref="U7:V8"/>
    <mergeCell ref="I31:I32"/>
    <mergeCell ref="I23:O24"/>
    <mergeCell ref="O27:O28"/>
    <mergeCell ref="O29:O30"/>
    <mergeCell ref="O31:O32"/>
    <mergeCell ref="J29:K30"/>
    <mergeCell ref="M27:N28"/>
    <mergeCell ref="M9:N10"/>
    <mergeCell ref="G29:H30"/>
    <mergeCell ref="M29:N30"/>
    <mergeCell ref="G22:H23"/>
    <mergeCell ref="M16:N17"/>
    <mergeCell ref="G27:G28"/>
    <mergeCell ref="H27:K28"/>
    <mergeCell ref="I29:I30"/>
    <mergeCell ref="J18:K19"/>
    <mergeCell ref="G18:H19"/>
    <mergeCell ref="O18:O19"/>
    <mergeCell ref="O20:O21"/>
    <mergeCell ref="M18:N19"/>
    <mergeCell ref="M20:N21"/>
    <mergeCell ref="B5:B6"/>
    <mergeCell ref="H5:O5"/>
    <mergeCell ref="O7:O8"/>
    <mergeCell ref="I7:I8"/>
    <mergeCell ref="H6:L6"/>
    <mergeCell ref="M7:N8"/>
    <mergeCell ref="G7:H8"/>
    <mergeCell ref="J7:K8"/>
    <mergeCell ref="D1:R1"/>
    <mergeCell ref="U1:X1"/>
    <mergeCell ref="D2:R2"/>
    <mergeCell ref="O9:O10"/>
    <mergeCell ref="J9:K10"/>
    <mergeCell ref="I9:I10"/>
    <mergeCell ref="G9:H10"/>
    <mergeCell ref="S5:Z5"/>
    <mergeCell ref="R7:S8"/>
    <mergeCell ref="T7:T8"/>
  </mergeCells>
  <printOptions/>
  <pageMargins left="0.3937007874015748" right="0.3937007874015748" top="0.22" bottom="0.19" header="0.5118110236220472" footer="0.2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4 Mannschaften</dc:title>
  <dc:subject/>
  <dc:creator>Siegi Steinmeir &amp; Christian Brandl</dc:creator>
  <cp:keywords/>
  <dc:description/>
  <cp:lastModifiedBy>KSV Mödling</cp:lastModifiedBy>
  <cp:lastPrinted>2002-01-01T03:01:06Z</cp:lastPrinted>
  <dcterms:created xsi:type="dcterms:W3CDTF">2001-02-19T09:52:04Z</dcterms:created>
  <dcterms:modified xsi:type="dcterms:W3CDTF">2002-01-01T04:55:21Z</dcterms:modified>
  <cp:category/>
  <cp:version/>
  <cp:contentType/>
  <cp:contentStatus/>
</cp:coreProperties>
</file>